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 firstSheet="2" activeTab="2"/>
  </bookViews>
  <sheets>
    <sheet name="Exerc-2.2" sheetId="1" r:id="rId1"/>
    <sheet name="Exerc-3.1" sheetId="2" r:id="rId2"/>
    <sheet name="Tabela-5.2" sheetId="13" r:id="rId3"/>
    <sheet name="Exerc_5.4" sheetId="12" r:id="rId4"/>
  </sheets>
  <calcPr calcId="145621"/>
</workbook>
</file>

<file path=xl/calcChain.xml><?xml version="1.0" encoding="utf-8"?>
<calcChain xmlns="http://schemas.openxmlformats.org/spreadsheetml/2006/main">
  <c r="L30" i="13" l="1"/>
  <c r="L32" i="13"/>
  <c r="H32" i="13" s="1"/>
  <c r="H30" i="13"/>
  <c r="H28" i="13"/>
  <c r="L26" i="13"/>
  <c r="H26" i="13"/>
  <c r="L24" i="13"/>
  <c r="H24" i="13"/>
  <c r="H22" i="13"/>
  <c r="L20" i="13"/>
  <c r="H20" i="13"/>
  <c r="K9" i="13"/>
  <c r="M16" i="13"/>
  <c r="K16" i="13"/>
  <c r="I16" i="13"/>
  <c r="L15" i="13"/>
  <c r="H15" i="13"/>
  <c r="H18" i="13"/>
  <c r="M13" i="13"/>
  <c r="M12" i="13"/>
  <c r="M11" i="13"/>
  <c r="M10" i="13"/>
  <c r="M9" i="13"/>
  <c r="M8" i="13"/>
  <c r="M7" i="13"/>
  <c r="M6" i="13"/>
  <c r="M5" i="13"/>
  <c r="M4" i="13"/>
  <c r="K13" i="13"/>
  <c r="K12" i="13"/>
  <c r="K11" i="13"/>
  <c r="K10" i="13"/>
  <c r="K8" i="13"/>
  <c r="K7" i="13"/>
  <c r="K6" i="13"/>
  <c r="K5" i="13"/>
  <c r="K4" i="13"/>
  <c r="I5" i="13"/>
  <c r="I6" i="13"/>
  <c r="I7" i="13"/>
  <c r="I8" i="13"/>
  <c r="I9" i="13"/>
  <c r="I10" i="13"/>
  <c r="I11" i="13"/>
  <c r="I12" i="13"/>
  <c r="I13" i="13"/>
  <c r="I4" i="13"/>
  <c r="L4" i="13"/>
  <c r="J4" i="13"/>
  <c r="J13" i="13"/>
  <c r="H6" i="13"/>
  <c r="H5" i="13"/>
  <c r="H4" i="13"/>
  <c r="L13" i="13"/>
  <c r="L12" i="13"/>
  <c r="L11" i="13"/>
  <c r="L10" i="13"/>
  <c r="L9" i="13"/>
  <c r="L8" i="13"/>
  <c r="L7" i="13"/>
  <c r="L6" i="13"/>
  <c r="L5" i="13"/>
  <c r="J12" i="13"/>
  <c r="J11" i="13"/>
  <c r="J10" i="13"/>
  <c r="J9" i="13"/>
  <c r="J15" i="13" s="1"/>
  <c r="J8" i="13"/>
  <c r="J7" i="13"/>
  <c r="J6" i="13"/>
  <c r="J5" i="13"/>
  <c r="H7" i="13"/>
  <c r="H8" i="13"/>
  <c r="H9" i="13"/>
  <c r="H10" i="13"/>
  <c r="H11" i="13"/>
  <c r="H12" i="13"/>
  <c r="H13" i="13"/>
  <c r="J3" i="12"/>
  <c r="J2" i="12"/>
  <c r="G3" i="12"/>
  <c r="F3" i="12"/>
  <c r="E3" i="12"/>
  <c r="D3" i="12"/>
  <c r="J4" i="12"/>
  <c r="J5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E4" i="12"/>
  <c r="F4" i="12"/>
  <c r="E5" i="12"/>
  <c r="F5" i="12"/>
  <c r="E6" i="12"/>
  <c r="F6" i="12"/>
  <c r="E7" i="12"/>
  <c r="F7" i="12"/>
  <c r="E8" i="12"/>
  <c r="F8" i="12"/>
  <c r="E9" i="12"/>
  <c r="F9" i="12"/>
  <c r="E10" i="12"/>
  <c r="F10" i="12"/>
  <c r="E11" i="12"/>
  <c r="F11" i="12"/>
  <c r="E12" i="12"/>
  <c r="F12" i="12"/>
  <c r="E13" i="12"/>
  <c r="F13" i="12"/>
  <c r="E14" i="12"/>
  <c r="F14" i="12"/>
  <c r="E15" i="12"/>
  <c r="F15" i="12"/>
  <c r="E16" i="12"/>
  <c r="F16" i="12"/>
  <c r="E17" i="12"/>
  <c r="F17" i="12"/>
  <c r="E18" i="12"/>
  <c r="F18" i="12"/>
  <c r="E19" i="12"/>
  <c r="F19" i="12"/>
  <c r="E20" i="12"/>
  <c r="F20" i="12"/>
  <c r="E21" i="12"/>
  <c r="F21" i="12"/>
  <c r="E22" i="12"/>
  <c r="F22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P10" i="2" l="1"/>
  <c r="P8" i="2"/>
  <c r="P5" i="2"/>
  <c r="P2" i="2"/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" i="2"/>
  <c r="P14" i="2"/>
  <c r="S3" i="2"/>
  <c r="P7" i="2"/>
  <c r="P1" i="2"/>
  <c r="P9" i="2"/>
  <c r="R3" i="2"/>
  <c r="P4" i="2"/>
  <c r="P3" i="2"/>
  <c r="F7" i="2"/>
  <c r="F10" i="2" s="1"/>
  <c r="I3" i="2" s="1"/>
  <c r="F1" i="2"/>
  <c r="F2" i="2" s="1"/>
  <c r="F5" i="2" s="1"/>
  <c r="G3" i="2" s="1"/>
  <c r="B13" i="1"/>
  <c r="G2" i="1"/>
  <c r="B15" i="1"/>
  <c r="B14" i="1"/>
  <c r="B12" i="1"/>
  <c r="G3" i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I2" i="1"/>
  <c r="H2" i="1"/>
  <c r="F4" i="2" l="1"/>
  <c r="F3" i="2"/>
  <c r="F9" i="2"/>
  <c r="F8" i="2"/>
  <c r="H3" i="2" s="1"/>
  <c r="G2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R2" i="2"/>
  <c r="S2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8" i="2"/>
  <c r="S7" i="2"/>
  <c r="R7" i="2"/>
  <c r="S6" i="2"/>
  <c r="R6" i="2"/>
  <c r="S5" i="2"/>
  <c r="R5" i="2"/>
  <c r="S4" i="2"/>
  <c r="R4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" i="2"/>
  <c r="H2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<sst xmlns="http://schemas.openxmlformats.org/spreadsheetml/2006/main" count="109" uniqueCount="69">
  <si>
    <t>Subgrupo</t>
  </si>
  <si>
    <t>Xi1</t>
  </si>
  <si>
    <t>Xi2</t>
  </si>
  <si>
    <t>Xi3</t>
  </si>
  <si>
    <t>Xi4</t>
  </si>
  <si>
    <t>Xi5</t>
  </si>
  <si>
    <t>Xibarra</t>
  </si>
  <si>
    <t>Ri</t>
  </si>
  <si>
    <t>Si</t>
  </si>
  <si>
    <t xml:space="preserve">Sb = </t>
  </si>
  <si>
    <t xml:space="preserve">Sc = </t>
  </si>
  <si>
    <t xml:space="preserve">Sd = </t>
  </si>
  <si>
    <t xml:space="preserve">Sa = </t>
  </si>
  <si>
    <t>c4 = 0.965</t>
  </si>
  <si>
    <t>c4 = 0.940</t>
  </si>
  <si>
    <t>m = 8</t>
  </si>
  <si>
    <t>n = 5</t>
  </si>
  <si>
    <t>d2 = 2,326</t>
  </si>
  <si>
    <t>N Amostra</t>
  </si>
  <si>
    <t>Xbarra</t>
  </si>
  <si>
    <t>R</t>
  </si>
  <si>
    <t xml:space="preserve">sigma = </t>
  </si>
  <si>
    <t xml:space="preserve">LIC_R = </t>
  </si>
  <si>
    <t xml:space="preserve">LSC_R = </t>
  </si>
  <si>
    <t xml:space="preserve">LM_R = </t>
  </si>
  <si>
    <t xml:space="preserve">Rbarra = </t>
  </si>
  <si>
    <t xml:space="preserve">LSC_Xbarra = </t>
  </si>
  <si>
    <t xml:space="preserve">LM_Xbarra = </t>
  </si>
  <si>
    <t xml:space="preserve">LIC_Xbarra = </t>
  </si>
  <si>
    <t xml:space="preserve">Xbarrabarra = </t>
  </si>
  <si>
    <t xml:space="preserve">alpha = </t>
  </si>
  <si>
    <t xml:space="preserve">1 / alpha = </t>
  </si>
  <si>
    <t>Amplitude</t>
  </si>
  <si>
    <t xml:space="preserve">Xbarra </t>
  </si>
  <si>
    <t>xbarra</t>
  </si>
  <si>
    <t>Peca</t>
  </si>
  <si>
    <t>Medidas</t>
  </si>
  <si>
    <t>I</t>
  </si>
  <si>
    <t>II</t>
  </si>
  <si>
    <t xml:space="preserve">rbarrabarra = </t>
  </si>
  <si>
    <t xml:space="preserve">sigma_repe = </t>
  </si>
  <si>
    <t>max</t>
  </si>
  <si>
    <t>min</t>
  </si>
  <si>
    <t xml:space="preserve">R_xbarrabarra = </t>
  </si>
  <si>
    <t xml:space="preserve">sigma_med = </t>
  </si>
  <si>
    <t xml:space="preserve">sigma2_med = </t>
  </si>
  <si>
    <t xml:space="preserve">sigma2_repe = </t>
  </si>
  <si>
    <t>Operador 1</t>
  </si>
  <si>
    <t>Operador 2</t>
  </si>
  <si>
    <t>Operador 3</t>
  </si>
  <si>
    <t xml:space="preserve">xbarrabarra = </t>
  </si>
  <si>
    <t xml:space="preserve">Rbarrabarra = </t>
  </si>
  <si>
    <t xml:space="preserve">R_{x_barra} = </t>
  </si>
  <si>
    <t xml:space="preserve">sigma2_repro = </t>
  </si>
  <si>
    <t xml:space="preserve">sigma_repro = </t>
  </si>
  <si>
    <t xml:space="preserve">R&amp;R = </t>
  </si>
  <si>
    <t xml:space="preserve">sigma2_total = </t>
  </si>
  <si>
    <t xml:space="preserve">sigma_total = </t>
  </si>
  <si>
    <t xml:space="preserve">sigma_proce = </t>
  </si>
  <si>
    <t>sigma2_proce =</t>
  </si>
  <si>
    <t>eq. 5.1</t>
  </si>
  <si>
    <t>eq. 5.16</t>
  </si>
  <si>
    <t>eq. 5.13</t>
  </si>
  <si>
    <t>eq. 5.12</t>
  </si>
  <si>
    <t>eq. 5.9</t>
  </si>
  <si>
    <t>eq. 5.10</t>
  </si>
  <si>
    <t>eq. 5.11</t>
  </si>
  <si>
    <t>d_2 = 1.128,   r=2</t>
  </si>
  <si>
    <t>d_2 = 1.693, o =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</si>
</sst>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73" formatCode="0.000E+00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center"/>
    </xf>
    <xf numFmtId="0" fontId="4" fillId="0" borderId="0" xfId="0" applyFon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0" fillId="0" borderId="10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4" fillId="6" borderId="0" xfId="0" applyNumberFormat="1" applyFont="1" applyFill="1"/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165" fontId="4" fillId="8" borderId="0" xfId="0" applyNumberFormat="1" applyFont="1" applyFill="1"/>
    <xf numFmtId="0" fontId="4" fillId="6" borderId="0" xfId="0" applyFont="1" applyFill="1" applyAlignment="1">
      <alignment horizontal="right"/>
    </xf>
    <xf numFmtId="0" fontId="4" fillId="8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4" fillId="9" borderId="0" xfId="0" applyFont="1" applyFill="1" applyAlignment="1">
      <alignment horizontal="right"/>
    </xf>
    <xf numFmtId="0" fontId="4" fillId="10" borderId="0" xfId="0" applyFont="1" applyFill="1" applyAlignment="1">
      <alignment horizontal="right"/>
    </xf>
    <xf numFmtId="173" fontId="4" fillId="10" borderId="0" xfId="0" applyNumberFormat="1" applyFont="1" applyFill="1"/>
    <xf numFmtId="0" fontId="4" fillId="3" borderId="0" xfId="0" applyFont="1" applyFill="1" applyAlignment="1">
      <alignment horizontal="right"/>
    </xf>
    <xf numFmtId="0" fontId="4" fillId="7" borderId="0" xfId="0" applyFont="1" applyFill="1" applyAlignment="1">
      <alignment horizontal="right"/>
    </xf>
    <xf numFmtId="173" fontId="4" fillId="7" borderId="0" xfId="0" applyNumberFormat="1" applyFon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7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11" borderId="0" xfId="0" applyFont="1" applyFill="1" applyAlignment="1">
      <alignment horizontal="right"/>
    </xf>
    <xf numFmtId="165" fontId="4" fillId="11" borderId="0" xfId="0" applyNumberFormat="1" applyFont="1" applyFill="1" applyAlignment="1">
      <alignment horizontal="center"/>
    </xf>
    <xf numFmtId="173" fontId="4" fillId="11" borderId="0" xfId="0" applyNumberFormat="1" applyFont="1" applyFill="1"/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4" fillId="12" borderId="0" xfId="0" applyFont="1" applyFill="1" applyAlignment="1">
      <alignment horizontal="right"/>
    </xf>
    <xf numFmtId="165" fontId="4" fillId="12" borderId="0" xfId="0" applyNumberFormat="1" applyFont="1" applyFill="1" applyAlignment="1">
      <alignment horizontal="center"/>
    </xf>
    <xf numFmtId="173" fontId="4" fillId="12" borderId="0" xfId="0" applyNumberFormat="1" applyFont="1" applyFill="1"/>
    <xf numFmtId="165" fontId="4" fillId="4" borderId="0" xfId="0" applyNumberFormat="1" applyFont="1" applyFill="1" applyAlignment="1">
      <alignment horizontal="center"/>
    </xf>
    <xf numFmtId="173" fontId="4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15" sqref="F15"/>
    </sheetView>
  </sheetViews>
  <sheetFormatPr defaultRowHeight="15" x14ac:dyDescent="0.25"/>
  <cols>
    <col min="2" max="2" width="9.5703125" customWidth="1"/>
    <col min="9" max="9" width="9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1">
        <v>1</v>
      </c>
      <c r="B2" s="3">
        <v>439.5</v>
      </c>
      <c r="C2" s="3">
        <v>453.3</v>
      </c>
      <c r="D2" s="3">
        <v>449.3</v>
      </c>
      <c r="E2" s="3">
        <v>452</v>
      </c>
      <c r="F2" s="3">
        <v>444.9</v>
      </c>
      <c r="G2" s="3">
        <f>AVERAGE(B2:F2)</f>
        <v>447.8</v>
      </c>
      <c r="H2" s="3">
        <f>MAX(B2:F2)-MIN(B2:F2)</f>
        <v>13.800000000000011</v>
      </c>
      <c r="I2" s="4">
        <f>SQRT(VAR(B2:F2))</f>
        <v>5.6444663166680398</v>
      </c>
    </row>
    <row r="3" spans="1:9" x14ac:dyDescent="0.25">
      <c r="A3" s="1">
        <v>2</v>
      </c>
      <c r="B3" s="3">
        <v>447.9</v>
      </c>
      <c r="C3" s="3">
        <v>441.9</v>
      </c>
      <c r="D3" s="3">
        <v>445.6</v>
      </c>
      <c r="E3" s="3">
        <v>445.7</v>
      </c>
      <c r="F3" s="3">
        <v>443.1</v>
      </c>
      <c r="G3" s="3">
        <f t="shared" ref="G3:G9" si="0">AVERAGE(B3:F3)</f>
        <v>444.84000000000003</v>
      </c>
      <c r="H3" s="3">
        <f t="shared" ref="H3:H9" si="1">MAX(B3:F3)-MIN(B3:F3)</f>
        <v>6</v>
      </c>
      <c r="I3" s="4">
        <f t="shared" ref="I3:I9" si="2">SQRT(VAR(B3:F3))</f>
        <v>2.3638950907347778</v>
      </c>
    </row>
    <row r="4" spans="1:9" x14ac:dyDescent="0.25">
      <c r="A4" s="1">
        <v>3</v>
      </c>
      <c r="B4" s="3">
        <v>447.8</v>
      </c>
      <c r="C4" s="3">
        <v>448</v>
      </c>
      <c r="D4" s="3">
        <v>445.6</v>
      </c>
      <c r="E4" s="3">
        <v>444.4</v>
      </c>
      <c r="F4" s="3">
        <v>440.8</v>
      </c>
      <c r="G4" s="3">
        <f t="shared" si="0"/>
        <v>445.32000000000005</v>
      </c>
      <c r="H4" s="3">
        <f t="shared" si="1"/>
        <v>7.1999999999999886</v>
      </c>
      <c r="I4" s="4">
        <f t="shared" si="2"/>
        <v>2.9448259710889544</v>
      </c>
    </row>
    <row r="5" spans="1:9" x14ac:dyDescent="0.25">
      <c r="A5" s="1">
        <v>4</v>
      </c>
      <c r="B5" s="3">
        <v>439.9</v>
      </c>
      <c r="C5" s="3">
        <v>448.7</v>
      </c>
      <c r="D5" s="3">
        <v>445.3</v>
      </c>
      <c r="E5" s="3">
        <v>440.2</v>
      </c>
      <c r="F5" s="3">
        <v>443.2</v>
      </c>
      <c r="G5" s="3">
        <f t="shared" si="0"/>
        <v>443.45999999999992</v>
      </c>
      <c r="H5" s="3">
        <f t="shared" si="1"/>
        <v>8.8000000000000114</v>
      </c>
      <c r="I5" s="4">
        <f t="shared" si="2"/>
        <v>3.6814399356773486</v>
      </c>
    </row>
    <row r="6" spans="1:9" x14ac:dyDescent="0.25">
      <c r="A6" s="1">
        <v>5</v>
      </c>
      <c r="B6" s="3">
        <v>443.4</v>
      </c>
      <c r="C6" s="3">
        <v>453</v>
      </c>
      <c r="D6" s="3">
        <v>453.5</v>
      </c>
      <c r="E6" s="3">
        <v>441.1</v>
      </c>
      <c r="F6" s="3">
        <v>445</v>
      </c>
      <c r="G6" s="3">
        <f t="shared" si="0"/>
        <v>447.2</v>
      </c>
      <c r="H6" s="3">
        <f t="shared" si="1"/>
        <v>12.399999999999977</v>
      </c>
      <c r="I6" s="4">
        <f t="shared" si="2"/>
        <v>5.6969289972756352</v>
      </c>
    </row>
    <row r="7" spans="1:9" x14ac:dyDescent="0.25">
      <c r="A7" s="1">
        <v>6</v>
      </c>
      <c r="B7" s="3">
        <v>447.5</v>
      </c>
      <c r="C7" s="3">
        <v>450.8</v>
      </c>
      <c r="D7" s="3">
        <v>445.8</v>
      </c>
      <c r="E7" s="3">
        <v>444.4</v>
      </c>
      <c r="F7" s="3">
        <v>444.5</v>
      </c>
      <c r="G7" s="3">
        <f t="shared" si="0"/>
        <v>446.6</v>
      </c>
      <c r="H7" s="3">
        <f t="shared" si="1"/>
        <v>6.4000000000000341</v>
      </c>
      <c r="I7" s="4">
        <f t="shared" si="2"/>
        <v>2.6617663308412411</v>
      </c>
    </row>
    <row r="8" spans="1:9" x14ac:dyDescent="0.25">
      <c r="A8" s="1">
        <v>7</v>
      </c>
      <c r="B8" s="3">
        <v>446.8</v>
      </c>
      <c r="C8" s="3">
        <v>449.2</v>
      </c>
      <c r="D8" s="3">
        <v>444.9</v>
      </c>
      <c r="E8" s="3">
        <v>453</v>
      </c>
      <c r="F8" s="3">
        <v>452.4</v>
      </c>
      <c r="G8" s="3">
        <f t="shared" si="0"/>
        <v>449.26000000000005</v>
      </c>
      <c r="H8" s="3">
        <f t="shared" si="1"/>
        <v>8.1000000000000227</v>
      </c>
      <c r="I8" s="4">
        <f t="shared" si="2"/>
        <v>3.4968557305099108</v>
      </c>
    </row>
    <row r="9" spans="1:9" x14ac:dyDescent="0.25">
      <c r="A9" s="1">
        <v>8</v>
      </c>
      <c r="B9" s="3">
        <v>449.9</v>
      </c>
      <c r="C9" s="3">
        <v>442.7</v>
      </c>
      <c r="D9" s="3">
        <v>447.1</v>
      </c>
      <c r="E9" s="3">
        <v>441.8</v>
      </c>
      <c r="F9" s="3">
        <v>452.4</v>
      </c>
      <c r="G9" s="3">
        <f t="shared" si="0"/>
        <v>446.77999999999992</v>
      </c>
      <c r="H9" s="3">
        <f t="shared" si="1"/>
        <v>10.599999999999966</v>
      </c>
      <c r="I9" s="4">
        <f t="shared" si="2"/>
        <v>4.5515931276861616</v>
      </c>
    </row>
    <row r="12" spans="1:9" x14ac:dyDescent="0.25">
      <c r="A12" s="5" t="s">
        <v>12</v>
      </c>
      <c r="B12" s="2">
        <f>SQRT(VAR(B2:F9))</f>
        <v>4.0657031750599195</v>
      </c>
    </row>
    <row r="13" spans="1:9" x14ac:dyDescent="0.25">
      <c r="A13" s="5" t="s">
        <v>9</v>
      </c>
      <c r="B13" s="2">
        <f>SQRT(VAR(G2:G9)*5)/0.965</f>
        <v>4.219097614502572</v>
      </c>
      <c r="C13" s="1" t="s">
        <v>13</v>
      </c>
      <c r="D13" s="1" t="s">
        <v>15</v>
      </c>
    </row>
    <row r="14" spans="1:9" x14ac:dyDescent="0.25">
      <c r="A14" s="5" t="s">
        <v>10</v>
      </c>
      <c r="B14" s="2">
        <f>AVERAGE(I2:I9)/0.94</f>
        <v>4.127895146340701</v>
      </c>
      <c r="C14" s="1" t="s">
        <v>14</v>
      </c>
      <c r="D14" s="1" t="s">
        <v>16</v>
      </c>
    </row>
    <row r="15" spans="1:9" x14ac:dyDescent="0.25">
      <c r="A15" s="5" t="s">
        <v>11</v>
      </c>
      <c r="B15" s="2">
        <f>AVERAGE(H2:H9)/2.326</f>
        <v>3.9391659501289773</v>
      </c>
      <c r="C15" s="1" t="s">
        <v>17</v>
      </c>
      <c r="D15" s="1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F18" sqref="F18"/>
    </sheetView>
  </sheetViews>
  <sheetFormatPr defaultRowHeight="15" x14ac:dyDescent="0.25"/>
  <cols>
    <col min="1" max="3" width="14.5703125" style="1" customWidth="1"/>
    <col min="4" max="4" width="2" customWidth="1"/>
    <col min="5" max="5" width="15.140625" customWidth="1"/>
    <col min="7" max="7" width="11.85546875" customWidth="1"/>
    <col min="10" max="10" width="2.7109375" customWidth="1"/>
    <col min="11" max="11" width="10.5703125" customWidth="1"/>
    <col min="14" max="14" width="2.85546875" customWidth="1"/>
    <col min="15" max="15" width="14.140625" customWidth="1"/>
    <col min="17" max="17" width="10.85546875" customWidth="1"/>
  </cols>
  <sheetData>
    <row r="1" spans="1:19" x14ac:dyDescent="0.25">
      <c r="A1" s="1" t="s">
        <v>18</v>
      </c>
      <c r="B1" s="1" t="s">
        <v>19</v>
      </c>
      <c r="C1" s="1" t="s">
        <v>20</v>
      </c>
      <c r="D1" s="1"/>
      <c r="E1" s="10" t="s">
        <v>25</v>
      </c>
      <c r="F1" s="11">
        <f>AVERAGE(C2:C25)</f>
        <v>0.25624999999999998</v>
      </c>
      <c r="G1" s="1" t="s">
        <v>32</v>
      </c>
      <c r="H1" s="1" t="s">
        <v>33</v>
      </c>
      <c r="I1" s="1" t="s">
        <v>19</v>
      </c>
      <c r="J1" s="9"/>
      <c r="K1" s="1" t="s">
        <v>18</v>
      </c>
      <c r="L1" s="1" t="s">
        <v>19</v>
      </c>
      <c r="M1" s="1" t="s">
        <v>20</v>
      </c>
      <c r="N1" s="1"/>
      <c r="O1" s="14" t="s">
        <v>25</v>
      </c>
      <c r="P1" s="15">
        <f>AVERAGE(M2:M24)</f>
        <v>0.25565217391304346</v>
      </c>
      <c r="Q1" s="1" t="s">
        <v>32</v>
      </c>
      <c r="R1" s="1" t="s">
        <v>33</v>
      </c>
      <c r="S1" s="1" t="s">
        <v>19</v>
      </c>
    </row>
    <row r="2" spans="1:19" x14ac:dyDescent="0.25">
      <c r="A2" s="1">
        <v>1</v>
      </c>
      <c r="B2" s="2">
        <v>34.950000000000003</v>
      </c>
      <c r="C2" s="1">
        <v>0.22</v>
      </c>
      <c r="E2" s="10" t="s">
        <v>21</v>
      </c>
      <c r="F2" s="11">
        <f>F1/2.326</f>
        <v>0.11016766981943249</v>
      </c>
      <c r="G2" t="b">
        <f>C2 &gt; $F$5</f>
        <v>0</v>
      </c>
      <c r="H2" t="b">
        <f>B2 &lt; $F$8</f>
        <v>0</v>
      </c>
      <c r="I2" t="b">
        <f t="shared" ref="I2:I25" si="0">B2 &gt; $F$10</f>
        <v>0</v>
      </c>
      <c r="J2" s="9"/>
      <c r="K2" s="1">
        <v>1</v>
      </c>
      <c r="L2" s="2">
        <v>34.950000000000003</v>
      </c>
      <c r="M2" s="1">
        <v>0.22</v>
      </c>
      <c r="O2" s="14" t="s">
        <v>21</v>
      </c>
      <c r="P2" s="15">
        <f>P1/2.326</f>
        <v>0.1099106508654529</v>
      </c>
      <c r="Q2" t="b">
        <f>M2 &gt; $P$5</f>
        <v>0</v>
      </c>
      <c r="R2" t="b">
        <f>L2 &lt; $P$8</f>
        <v>0</v>
      </c>
      <c r="S2" t="b">
        <f>L2 &gt; $P$10</f>
        <v>0</v>
      </c>
    </row>
    <row r="3" spans="1:19" x14ac:dyDescent="0.25">
      <c r="A3" s="1">
        <v>2</v>
      </c>
      <c r="B3" s="2">
        <v>35.049999999999997</v>
      </c>
      <c r="C3" s="1">
        <v>0.33</v>
      </c>
      <c r="E3" s="10" t="s">
        <v>22</v>
      </c>
      <c r="F3" s="11">
        <f>MAX((2.326-3*0.864)*F2,0)</f>
        <v>0</v>
      </c>
      <c r="G3" t="b">
        <f t="shared" ref="G3:G25" si="1">C3 &gt; $F$5</f>
        <v>0</v>
      </c>
      <c r="H3" t="b">
        <f t="shared" ref="H3:H25" si="2">B3 &lt; $F$8</f>
        <v>0</v>
      </c>
      <c r="I3" t="b">
        <f t="shared" si="0"/>
        <v>0</v>
      </c>
      <c r="J3" s="9"/>
      <c r="K3" s="1">
        <v>2</v>
      </c>
      <c r="L3" s="2">
        <v>35.049999999999997</v>
      </c>
      <c r="M3" s="1">
        <v>0.33</v>
      </c>
      <c r="O3" s="14" t="s">
        <v>22</v>
      </c>
      <c r="P3" s="15">
        <f>MAX((2.326-3*0.864)*P2,0)</f>
        <v>0</v>
      </c>
      <c r="Q3" t="b">
        <f t="shared" ref="Q3:Q24" si="3">M3 &gt; $P$5</f>
        <v>0</v>
      </c>
      <c r="R3" t="b">
        <f t="shared" ref="R3:R24" si="4">L3 &lt; $P$8</f>
        <v>0</v>
      </c>
      <c r="S3" t="b">
        <f t="shared" ref="S3:S24" si="5">L3 &gt; $P$10</f>
        <v>0</v>
      </c>
    </row>
    <row r="4" spans="1:19" x14ac:dyDescent="0.25">
      <c r="A4" s="1">
        <v>3</v>
      </c>
      <c r="B4" s="2">
        <v>35.01</v>
      </c>
      <c r="C4" s="1">
        <v>0.27</v>
      </c>
      <c r="E4" s="10" t="s">
        <v>24</v>
      </c>
      <c r="F4" s="11">
        <f>F1</f>
        <v>0.25624999999999998</v>
      </c>
      <c r="G4" t="b">
        <f t="shared" si="1"/>
        <v>0</v>
      </c>
      <c r="H4" t="b">
        <f t="shared" si="2"/>
        <v>0</v>
      </c>
      <c r="I4" t="b">
        <f t="shared" si="0"/>
        <v>0</v>
      </c>
      <c r="J4" s="9"/>
      <c r="K4" s="1">
        <v>3</v>
      </c>
      <c r="L4" s="2">
        <v>35.01</v>
      </c>
      <c r="M4" s="1">
        <v>0.27</v>
      </c>
      <c r="O4" s="14" t="s">
        <v>24</v>
      </c>
      <c r="P4" s="15">
        <f>P1</f>
        <v>0.25565217391304346</v>
      </c>
      <c r="Q4" t="b">
        <f t="shared" si="3"/>
        <v>0</v>
      </c>
      <c r="R4" t="b">
        <f t="shared" si="4"/>
        <v>0</v>
      </c>
      <c r="S4" t="b">
        <f t="shared" si="5"/>
        <v>0</v>
      </c>
    </row>
    <row r="5" spans="1:19" x14ac:dyDescent="0.25">
      <c r="A5" s="1">
        <v>4</v>
      </c>
      <c r="B5" s="2">
        <v>34.97</v>
      </c>
      <c r="C5" s="1">
        <v>0.16</v>
      </c>
      <c r="E5" s="10" t="s">
        <v>23</v>
      </c>
      <c r="F5" s="11">
        <f>(2.326+3*0.864)*F2</f>
        <v>0.54180460017196896</v>
      </c>
      <c r="G5" t="b">
        <f t="shared" si="1"/>
        <v>0</v>
      </c>
      <c r="H5" t="b">
        <f t="shared" si="2"/>
        <v>0</v>
      </c>
      <c r="I5" t="b">
        <f t="shared" si="0"/>
        <v>0</v>
      </c>
      <c r="J5" s="9"/>
      <c r="K5" s="1">
        <v>4</v>
      </c>
      <c r="L5" s="2">
        <v>34.97</v>
      </c>
      <c r="M5" s="1">
        <v>0.16</v>
      </c>
      <c r="O5" s="14" t="s">
        <v>23</v>
      </c>
      <c r="P5" s="15">
        <f>(2.326+3*0.864)*P2</f>
        <v>0.54054058095629742</v>
      </c>
      <c r="Q5" t="b">
        <f t="shared" si="3"/>
        <v>0</v>
      </c>
      <c r="R5" t="b">
        <f t="shared" si="4"/>
        <v>0</v>
      </c>
      <c r="S5" t="b">
        <f t="shared" si="5"/>
        <v>0</v>
      </c>
    </row>
    <row r="6" spans="1:19" x14ac:dyDescent="0.25">
      <c r="A6" s="1">
        <v>5</v>
      </c>
      <c r="B6" s="2">
        <v>35.020000000000003</v>
      </c>
      <c r="C6" s="1">
        <v>0.39</v>
      </c>
      <c r="G6" t="b">
        <f t="shared" si="1"/>
        <v>0</v>
      </c>
      <c r="H6" t="b">
        <f t="shared" si="2"/>
        <v>0</v>
      </c>
      <c r="I6" t="b">
        <f t="shared" si="0"/>
        <v>0</v>
      </c>
      <c r="J6" s="9"/>
      <c r="K6" s="1">
        <v>5</v>
      </c>
      <c r="L6" s="2">
        <v>35.020000000000003</v>
      </c>
      <c r="M6" s="1">
        <v>0.39</v>
      </c>
      <c r="O6" s="12"/>
      <c r="P6" s="12"/>
      <c r="Q6" t="b">
        <f t="shared" si="3"/>
        <v>0</v>
      </c>
      <c r="R6" t="b">
        <f t="shared" si="4"/>
        <v>0</v>
      </c>
      <c r="S6" t="b">
        <f t="shared" si="5"/>
        <v>0</v>
      </c>
    </row>
    <row r="7" spans="1:19" x14ac:dyDescent="0.25">
      <c r="A7" s="1">
        <v>6</v>
      </c>
      <c r="B7" s="2">
        <v>34.950000000000003</v>
      </c>
      <c r="C7" s="1">
        <v>0.19</v>
      </c>
      <c r="E7" s="6" t="s">
        <v>29</v>
      </c>
      <c r="F7" s="7">
        <f>AVERAGE(B2:B25)</f>
        <v>34.993749999999999</v>
      </c>
      <c r="G7" t="b">
        <f t="shared" si="1"/>
        <v>0</v>
      </c>
      <c r="H7" t="b">
        <f t="shared" si="2"/>
        <v>0</v>
      </c>
      <c r="I7" t="b">
        <f t="shared" si="0"/>
        <v>0</v>
      </c>
      <c r="J7" s="9"/>
      <c r="K7" s="1">
        <v>6</v>
      </c>
      <c r="L7" s="2">
        <v>34.950000000000003</v>
      </c>
      <c r="M7" s="1">
        <v>0.19</v>
      </c>
      <c r="O7" s="10" t="s">
        <v>29</v>
      </c>
      <c r="P7" s="11">
        <f>AVERAGE(L2:L24)</f>
        <v>35.001739130434778</v>
      </c>
      <c r="Q7" t="b">
        <f t="shared" si="3"/>
        <v>0</v>
      </c>
      <c r="R7" t="b">
        <f t="shared" si="4"/>
        <v>0</v>
      </c>
      <c r="S7" t="b">
        <f t="shared" si="5"/>
        <v>0</v>
      </c>
    </row>
    <row r="8" spans="1:19" x14ac:dyDescent="0.25">
      <c r="A8" s="1">
        <v>7</v>
      </c>
      <c r="B8" s="2">
        <v>34.96</v>
      </c>
      <c r="C8" s="1">
        <v>0.21</v>
      </c>
      <c r="E8" s="6" t="s">
        <v>28</v>
      </c>
      <c r="F8" s="7">
        <f>F7-3*F2/SQRT(5)</f>
        <v>34.845944560816598</v>
      </c>
      <c r="G8" t="b">
        <f t="shared" si="1"/>
        <v>0</v>
      </c>
      <c r="H8" t="b">
        <f t="shared" si="2"/>
        <v>0</v>
      </c>
      <c r="I8" t="b">
        <f t="shared" si="0"/>
        <v>0</v>
      </c>
      <c r="J8" s="9"/>
      <c r="K8" s="1">
        <v>7</v>
      </c>
      <c r="L8" s="2">
        <v>34.96</v>
      </c>
      <c r="M8" s="1">
        <v>0.21</v>
      </c>
      <c r="O8" s="10" t="s">
        <v>28</v>
      </c>
      <c r="P8" s="11">
        <f>P7-3*F2/SQRT(5)</f>
        <v>34.853933691251378</v>
      </c>
      <c r="Q8" t="b">
        <f t="shared" si="3"/>
        <v>0</v>
      </c>
      <c r="R8" t="b">
        <f t="shared" si="4"/>
        <v>0</v>
      </c>
      <c r="S8" t="b">
        <f t="shared" si="5"/>
        <v>0</v>
      </c>
    </row>
    <row r="9" spans="1:19" x14ac:dyDescent="0.25">
      <c r="A9" s="1">
        <v>8</v>
      </c>
      <c r="B9" s="2">
        <v>34.97</v>
      </c>
      <c r="C9" s="1">
        <v>0.27</v>
      </c>
      <c r="E9" s="6" t="s">
        <v>27</v>
      </c>
      <c r="F9" s="7">
        <f>F7</f>
        <v>34.993749999999999</v>
      </c>
      <c r="G9" t="b">
        <f t="shared" si="1"/>
        <v>0</v>
      </c>
      <c r="H9" t="b">
        <f t="shared" si="2"/>
        <v>0</v>
      </c>
      <c r="I9" t="b">
        <f t="shared" si="0"/>
        <v>0</v>
      </c>
      <c r="J9" s="9"/>
      <c r="K9" s="1">
        <v>8</v>
      </c>
      <c r="L9" s="2">
        <v>34.97</v>
      </c>
      <c r="M9" s="1">
        <v>0.27</v>
      </c>
      <c r="O9" s="10" t="s">
        <v>27</v>
      </c>
      <c r="P9" s="11">
        <f>P7</f>
        <v>35.001739130434778</v>
      </c>
      <c r="Q9" t="b">
        <f t="shared" si="3"/>
        <v>0</v>
      </c>
      <c r="R9" t="b">
        <f t="shared" si="4"/>
        <v>0</v>
      </c>
      <c r="S9" t="b">
        <f t="shared" si="5"/>
        <v>0</v>
      </c>
    </row>
    <row r="10" spans="1:19" x14ac:dyDescent="0.25">
      <c r="A10" s="1">
        <v>9</v>
      </c>
      <c r="B10" s="2">
        <v>35.08</v>
      </c>
      <c r="C10" s="1">
        <v>0.37</v>
      </c>
      <c r="E10" s="6" t="s">
        <v>26</v>
      </c>
      <c r="F10" s="7">
        <f>F7+3*F2/SQRT(5)</f>
        <v>35.141555439183399</v>
      </c>
      <c r="G10" t="b">
        <f t="shared" si="1"/>
        <v>0</v>
      </c>
      <c r="H10" t="b">
        <f t="shared" si="2"/>
        <v>0</v>
      </c>
      <c r="I10" t="b">
        <f t="shared" si="0"/>
        <v>0</v>
      </c>
      <c r="J10" s="9"/>
      <c r="K10" s="1">
        <v>9</v>
      </c>
      <c r="L10" s="2">
        <v>35.08</v>
      </c>
      <c r="M10" s="1">
        <v>0.37</v>
      </c>
      <c r="O10" s="10" t="s">
        <v>26</v>
      </c>
      <c r="P10" s="11">
        <f>P7+3*F2/SQRT(5)</f>
        <v>35.149544569618179</v>
      </c>
      <c r="Q10" t="b">
        <f t="shared" si="3"/>
        <v>0</v>
      </c>
      <c r="R10" t="b">
        <f t="shared" si="4"/>
        <v>0</v>
      </c>
      <c r="S10" t="b">
        <f t="shared" si="5"/>
        <v>0</v>
      </c>
    </row>
    <row r="11" spans="1:19" x14ac:dyDescent="0.25">
      <c r="A11" s="1">
        <v>10</v>
      </c>
      <c r="B11" s="2">
        <v>35.020000000000003</v>
      </c>
      <c r="C11" s="1">
        <v>0.09</v>
      </c>
      <c r="G11" t="b">
        <f t="shared" si="1"/>
        <v>0</v>
      </c>
      <c r="H11" t="b">
        <f t="shared" si="2"/>
        <v>0</v>
      </c>
      <c r="I11" t="b">
        <f t="shared" si="0"/>
        <v>0</v>
      </c>
      <c r="J11" s="9"/>
      <c r="K11" s="1">
        <v>10</v>
      </c>
      <c r="L11" s="2">
        <v>35.020000000000003</v>
      </c>
      <c r="M11" s="1">
        <v>0.09</v>
      </c>
      <c r="Q11" t="b">
        <f t="shared" si="3"/>
        <v>0</v>
      </c>
      <c r="R11" t="b">
        <f t="shared" si="4"/>
        <v>0</v>
      </c>
      <c r="S11" t="b">
        <f t="shared" si="5"/>
        <v>0</v>
      </c>
    </row>
    <row r="12" spans="1:19" x14ac:dyDescent="0.25">
      <c r="A12" s="1">
        <v>11</v>
      </c>
      <c r="B12" s="2">
        <v>34.979999999999997</v>
      </c>
      <c r="C12" s="1">
        <v>0.33</v>
      </c>
      <c r="G12" t="b">
        <f t="shared" si="1"/>
        <v>0</v>
      </c>
      <c r="H12" t="b">
        <f t="shared" si="2"/>
        <v>0</v>
      </c>
      <c r="I12" t="b">
        <f t="shared" si="0"/>
        <v>0</v>
      </c>
      <c r="J12" s="9"/>
      <c r="K12" s="1">
        <v>11</v>
      </c>
      <c r="L12" s="2">
        <v>34.979999999999997</v>
      </c>
      <c r="M12" s="1">
        <v>0.33</v>
      </c>
      <c r="Q12" t="b">
        <f t="shared" si="3"/>
        <v>0</v>
      </c>
      <c r="R12" t="b">
        <f t="shared" si="4"/>
        <v>0</v>
      </c>
      <c r="S12" t="b">
        <f t="shared" si="5"/>
        <v>0</v>
      </c>
    </row>
    <row r="13" spans="1:19" x14ac:dyDescent="0.25">
      <c r="A13" s="1">
        <v>12</v>
      </c>
      <c r="B13" s="2">
        <v>34.979999999999997</v>
      </c>
      <c r="C13" s="1">
        <v>0.23</v>
      </c>
      <c r="G13" t="b">
        <f t="shared" si="1"/>
        <v>0</v>
      </c>
      <c r="H13" t="b">
        <f t="shared" si="2"/>
        <v>0</v>
      </c>
      <c r="I13" t="b">
        <f t="shared" si="0"/>
        <v>0</v>
      </c>
      <c r="J13" s="9"/>
      <c r="K13" s="1">
        <v>12</v>
      </c>
      <c r="L13" s="2">
        <v>34.979999999999997</v>
      </c>
      <c r="M13" s="1">
        <v>0.23</v>
      </c>
      <c r="O13" s="10" t="s">
        <v>30</v>
      </c>
      <c r="P13" s="11">
        <v>2.7000000000000001E-3</v>
      </c>
      <c r="Q13" t="b">
        <f t="shared" si="3"/>
        <v>0</v>
      </c>
      <c r="R13" t="b">
        <f t="shared" si="4"/>
        <v>0</v>
      </c>
      <c r="S13" t="b">
        <f t="shared" si="5"/>
        <v>0</v>
      </c>
    </row>
    <row r="14" spans="1:19" x14ac:dyDescent="0.25">
      <c r="A14" s="1">
        <v>13</v>
      </c>
      <c r="B14" s="2">
        <v>35.03</v>
      </c>
      <c r="C14" s="1">
        <v>0.15</v>
      </c>
      <c r="G14" t="b">
        <f t="shared" si="1"/>
        <v>0</v>
      </c>
      <c r="H14" t="b">
        <f t="shared" si="2"/>
        <v>0</v>
      </c>
      <c r="I14" t="b">
        <f t="shared" si="0"/>
        <v>0</v>
      </c>
      <c r="J14" s="9"/>
      <c r="K14" s="1">
        <v>13</v>
      </c>
      <c r="L14" s="2">
        <v>35.03</v>
      </c>
      <c r="M14" s="1">
        <v>0.15</v>
      </c>
      <c r="O14" s="10" t="s">
        <v>31</v>
      </c>
      <c r="P14" s="13">
        <f>1/P13</f>
        <v>370.37037037037032</v>
      </c>
      <c r="Q14" t="b">
        <f t="shared" si="3"/>
        <v>0</v>
      </c>
      <c r="R14" t="b">
        <f t="shared" si="4"/>
        <v>0</v>
      </c>
      <c r="S14" t="b">
        <f t="shared" si="5"/>
        <v>0</v>
      </c>
    </row>
    <row r="15" spans="1:19" x14ac:dyDescent="0.25">
      <c r="A15" s="1">
        <v>14</v>
      </c>
      <c r="B15" s="2">
        <v>35.049999999999997</v>
      </c>
      <c r="C15" s="1">
        <v>0.28999999999999998</v>
      </c>
      <c r="G15" t="b">
        <f t="shared" si="1"/>
        <v>0</v>
      </c>
      <c r="H15" t="b">
        <f t="shared" si="2"/>
        <v>0</v>
      </c>
      <c r="I15" t="b">
        <f t="shared" si="0"/>
        <v>0</v>
      </c>
      <c r="J15" s="9"/>
      <c r="K15" s="1">
        <v>14</v>
      </c>
      <c r="L15" s="2">
        <v>35.049999999999997</v>
      </c>
      <c r="M15" s="1">
        <v>0.28999999999999998</v>
      </c>
      <c r="Q15" t="b">
        <f t="shared" si="3"/>
        <v>0</v>
      </c>
      <c r="R15" t="b">
        <f t="shared" si="4"/>
        <v>0</v>
      </c>
      <c r="S15" t="b">
        <f t="shared" si="5"/>
        <v>0</v>
      </c>
    </row>
    <row r="16" spans="1:19" x14ac:dyDescent="0.25">
      <c r="A16" s="1">
        <v>15</v>
      </c>
      <c r="B16" s="2">
        <v>35</v>
      </c>
      <c r="C16" s="1">
        <v>0.31</v>
      </c>
      <c r="G16" t="b">
        <f t="shared" si="1"/>
        <v>0</v>
      </c>
      <c r="H16" t="b">
        <f t="shared" si="2"/>
        <v>0</v>
      </c>
      <c r="I16" t="b">
        <f t="shared" si="0"/>
        <v>0</v>
      </c>
      <c r="J16" s="9"/>
      <c r="K16" s="1">
        <v>15</v>
      </c>
      <c r="L16" s="2">
        <v>35</v>
      </c>
      <c r="M16" s="1">
        <v>0.31</v>
      </c>
      <c r="Q16" t="b">
        <f t="shared" si="3"/>
        <v>0</v>
      </c>
      <c r="R16" t="b">
        <f t="shared" si="4"/>
        <v>0</v>
      </c>
      <c r="S16" t="b">
        <f t="shared" si="5"/>
        <v>0</v>
      </c>
    </row>
    <row r="17" spans="1:19" x14ac:dyDescent="0.25">
      <c r="A17" s="1">
        <v>16</v>
      </c>
      <c r="B17" s="2">
        <v>34.92</v>
      </c>
      <c r="C17" s="1">
        <v>0.18</v>
      </c>
      <c r="G17" t="b">
        <f t="shared" si="1"/>
        <v>0</v>
      </c>
      <c r="H17" t="b">
        <f t="shared" si="2"/>
        <v>0</v>
      </c>
      <c r="I17" t="b">
        <f t="shared" si="0"/>
        <v>0</v>
      </c>
      <c r="J17" s="9"/>
      <c r="K17" s="1">
        <v>16</v>
      </c>
      <c r="L17" s="2">
        <v>34.92</v>
      </c>
      <c r="M17" s="1">
        <v>0.18</v>
      </c>
      <c r="Q17" t="b">
        <f t="shared" si="3"/>
        <v>0</v>
      </c>
      <c r="R17" t="b">
        <f t="shared" si="4"/>
        <v>0</v>
      </c>
      <c r="S17" t="b">
        <f t="shared" si="5"/>
        <v>0</v>
      </c>
    </row>
    <row r="18" spans="1:19" x14ac:dyDescent="0.25">
      <c r="A18" s="1">
        <v>17</v>
      </c>
      <c r="B18" s="2">
        <v>35</v>
      </c>
      <c r="C18" s="1">
        <v>0.28000000000000003</v>
      </c>
      <c r="G18" t="b">
        <f t="shared" si="1"/>
        <v>0</v>
      </c>
      <c r="H18" t="b">
        <f t="shared" si="2"/>
        <v>0</v>
      </c>
      <c r="I18" t="b">
        <f t="shared" si="0"/>
        <v>0</v>
      </c>
      <c r="J18" s="9"/>
      <c r="K18" s="1">
        <v>17</v>
      </c>
      <c r="L18" s="2">
        <v>35</v>
      </c>
      <c r="M18" s="1">
        <v>0.28000000000000003</v>
      </c>
      <c r="Q18" t="b">
        <f t="shared" si="3"/>
        <v>0</v>
      </c>
      <c r="R18" t="b">
        <f t="shared" si="4"/>
        <v>0</v>
      </c>
      <c r="S18" t="b">
        <f t="shared" si="5"/>
        <v>0</v>
      </c>
    </row>
    <row r="19" spans="1:19" x14ac:dyDescent="0.25">
      <c r="A19" s="1">
        <v>18</v>
      </c>
      <c r="B19" s="2">
        <v>35.04</v>
      </c>
      <c r="C19" s="1">
        <v>0.28999999999999998</v>
      </c>
      <c r="G19" t="b">
        <f t="shared" si="1"/>
        <v>0</v>
      </c>
      <c r="H19" t="b">
        <f t="shared" si="2"/>
        <v>0</v>
      </c>
      <c r="I19" t="b">
        <f t="shared" si="0"/>
        <v>0</v>
      </c>
      <c r="J19" s="9"/>
      <c r="K19" s="1">
        <v>18</v>
      </c>
      <c r="L19" s="2">
        <v>35.04</v>
      </c>
      <c r="M19" s="1">
        <v>0.28999999999999998</v>
      </c>
      <c r="Q19" t="b">
        <f t="shared" si="3"/>
        <v>0</v>
      </c>
      <c r="R19" t="b">
        <f t="shared" si="4"/>
        <v>0</v>
      </c>
      <c r="S19" t="b">
        <f t="shared" si="5"/>
        <v>0</v>
      </c>
    </row>
    <row r="20" spans="1:19" x14ac:dyDescent="0.25">
      <c r="A20" s="1">
        <v>19</v>
      </c>
      <c r="B20" s="2">
        <v>35</v>
      </c>
      <c r="C20" s="1">
        <v>0.27</v>
      </c>
      <c r="G20" t="b">
        <f t="shared" si="1"/>
        <v>0</v>
      </c>
      <c r="H20" t="b">
        <f t="shared" si="2"/>
        <v>0</v>
      </c>
      <c r="I20" t="b">
        <f t="shared" si="0"/>
        <v>0</v>
      </c>
      <c r="J20" s="9"/>
      <c r="K20" s="1">
        <v>19</v>
      </c>
      <c r="L20" s="2">
        <v>35</v>
      </c>
      <c r="M20" s="1">
        <v>0.27</v>
      </c>
      <c r="Q20" t="b">
        <f t="shared" si="3"/>
        <v>0</v>
      </c>
      <c r="R20" t="b">
        <f t="shared" si="4"/>
        <v>0</v>
      </c>
      <c r="S20" t="b">
        <f t="shared" si="5"/>
        <v>0</v>
      </c>
    </row>
    <row r="21" spans="1:19" x14ac:dyDescent="0.25">
      <c r="A21" s="1">
        <v>20</v>
      </c>
      <c r="B21" s="7">
        <v>34.81</v>
      </c>
      <c r="C21" s="1">
        <v>0.27</v>
      </c>
      <c r="G21" t="b">
        <f t="shared" si="1"/>
        <v>0</v>
      </c>
      <c r="H21" s="8" t="b">
        <f t="shared" si="2"/>
        <v>1</v>
      </c>
      <c r="I21" s="8" t="b">
        <f t="shared" si="0"/>
        <v>0</v>
      </c>
      <c r="J21" s="9"/>
      <c r="K21" s="1">
        <v>21</v>
      </c>
      <c r="L21" s="2">
        <v>34.96</v>
      </c>
      <c r="M21" s="1">
        <v>0.28999999999999998</v>
      </c>
      <c r="Q21" t="b">
        <f t="shared" si="3"/>
        <v>0</v>
      </c>
      <c r="R21" t="b">
        <f t="shared" si="4"/>
        <v>0</v>
      </c>
      <c r="S21" t="b">
        <f t="shared" si="5"/>
        <v>0</v>
      </c>
    </row>
    <row r="22" spans="1:19" x14ac:dyDescent="0.25">
      <c r="A22" s="1">
        <v>21</v>
      </c>
      <c r="B22" s="2">
        <v>34.96</v>
      </c>
      <c r="C22" s="1">
        <v>0.28999999999999998</v>
      </c>
      <c r="G22" t="b">
        <f t="shared" si="1"/>
        <v>0</v>
      </c>
      <c r="H22" t="b">
        <f t="shared" si="2"/>
        <v>0</v>
      </c>
      <c r="I22" t="b">
        <f t="shared" si="0"/>
        <v>0</v>
      </c>
      <c r="J22" s="9"/>
      <c r="K22" s="1">
        <v>22</v>
      </c>
      <c r="L22" s="2">
        <v>35.049999999999997</v>
      </c>
      <c r="M22" s="1">
        <v>0.18</v>
      </c>
      <c r="Q22" t="b">
        <f t="shared" si="3"/>
        <v>0</v>
      </c>
      <c r="R22" t="b">
        <f t="shared" si="4"/>
        <v>0</v>
      </c>
      <c r="S22" t="b">
        <f t="shared" si="5"/>
        <v>0</v>
      </c>
    </row>
    <row r="23" spans="1:19" x14ac:dyDescent="0.25">
      <c r="A23" s="1">
        <v>22</v>
      </c>
      <c r="B23" s="2">
        <v>35.049999999999997</v>
      </c>
      <c r="C23" s="1">
        <v>0.18</v>
      </c>
      <c r="G23" t="b">
        <f t="shared" si="1"/>
        <v>0</v>
      </c>
      <c r="H23" t="b">
        <f t="shared" si="2"/>
        <v>0</v>
      </c>
      <c r="I23" t="b">
        <f t="shared" si="0"/>
        <v>0</v>
      </c>
      <c r="J23" s="9"/>
      <c r="K23" s="1">
        <v>23</v>
      </c>
      <c r="L23" s="2">
        <v>35.020000000000003</v>
      </c>
      <c r="M23" s="1">
        <v>0.28999999999999998</v>
      </c>
      <c r="Q23" t="b">
        <f t="shared" si="3"/>
        <v>0</v>
      </c>
      <c r="R23" t="b">
        <f t="shared" si="4"/>
        <v>0</v>
      </c>
      <c r="S23" t="b">
        <f t="shared" si="5"/>
        <v>0</v>
      </c>
    </row>
    <row r="24" spans="1:19" x14ac:dyDescent="0.25">
      <c r="A24" s="1">
        <v>23</v>
      </c>
      <c r="B24" s="2">
        <v>35.020000000000003</v>
      </c>
      <c r="C24" s="1">
        <v>0.28999999999999998</v>
      </c>
      <c r="G24" t="b">
        <f t="shared" si="1"/>
        <v>0</v>
      </c>
      <c r="H24" t="b">
        <f t="shared" si="2"/>
        <v>0</v>
      </c>
      <c r="I24" t="b">
        <f t="shared" si="0"/>
        <v>0</v>
      </c>
      <c r="J24" s="9"/>
      <c r="K24" s="1">
        <v>24</v>
      </c>
      <c r="L24" s="2">
        <v>35.03</v>
      </c>
      <c r="M24" s="1">
        <v>0.28999999999999998</v>
      </c>
      <c r="Q24" t="b">
        <f t="shared" si="3"/>
        <v>0</v>
      </c>
      <c r="R24" t="b">
        <f t="shared" si="4"/>
        <v>0</v>
      </c>
      <c r="S24" t="b">
        <f t="shared" si="5"/>
        <v>0</v>
      </c>
    </row>
    <row r="25" spans="1:19" x14ac:dyDescent="0.25">
      <c r="A25" s="1">
        <v>24</v>
      </c>
      <c r="B25" s="2">
        <v>35.03</v>
      </c>
      <c r="C25" s="1">
        <v>0.28999999999999998</v>
      </c>
      <c r="G25" t="b">
        <f t="shared" si="1"/>
        <v>0</v>
      </c>
      <c r="H25" t="b">
        <f t="shared" si="2"/>
        <v>0</v>
      </c>
      <c r="I25" t="b">
        <f t="shared" si="0"/>
        <v>0</v>
      </c>
      <c r="J25" s="9"/>
    </row>
    <row r="26" spans="1:19" x14ac:dyDescent="0.25">
      <c r="J26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7" workbookViewId="0">
      <selection activeCell="O32" sqref="O32"/>
    </sheetView>
  </sheetViews>
  <sheetFormatPr defaultRowHeight="15" x14ac:dyDescent="0.25"/>
  <cols>
    <col min="12" max="12" width="9.140625" customWidth="1"/>
  </cols>
  <sheetData>
    <row r="1" spans="1:13" x14ac:dyDescent="0.25">
      <c r="A1" s="25" t="s">
        <v>35</v>
      </c>
      <c r="B1" s="22" t="s">
        <v>47</v>
      </c>
      <c r="C1" s="21"/>
      <c r="D1" s="22" t="s">
        <v>48</v>
      </c>
      <c r="E1" s="45"/>
      <c r="F1" s="21" t="s">
        <v>49</v>
      </c>
      <c r="G1" s="21"/>
      <c r="H1" s="22" t="s">
        <v>47</v>
      </c>
      <c r="I1" s="21"/>
      <c r="J1" s="22" t="s">
        <v>48</v>
      </c>
      <c r="K1" s="45"/>
      <c r="L1" s="21" t="s">
        <v>49</v>
      </c>
      <c r="M1" s="21"/>
    </row>
    <row r="2" spans="1:13" x14ac:dyDescent="0.25">
      <c r="A2" s="26"/>
      <c r="B2" s="22" t="s">
        <v>36</v>
      </c>
      <c r="C2" s="21"/>
      <c r="D2" s="22" t="s">
        <v>36</v>
      </c>
      <c r="E2" s="45"/>
      <c r="F2" s="21" t="s">
        <v>36</v>
      </c>
      <c r="G2" s="21"/>
      <c r="H2" s="30" t="s">
        <v>34</v>
      </c>
      <c r="I2" s="46" t="s">
        <v>20</v>
      </c>
      <c r="J2" s="30" t="s">
        <v>34</v>
      </c>
      <c r="K2" s="46" t="s">
        <v>20</v>
      </c>
      <c r="L2" s="31" t="s">
        <v>34</v>
      </c>
      <c r="M2" s="30" t="s">
        <v>20</v>
      </c>
    </row>
    <row r="3" spans="1:13" x14ac:dyDescent="0.25">
      <c r="A3" s="27"/>
      <c r="B3" s="23" t="s">
        <v>37</v>
      </c>
      <c r="C3" s="48" t="s">
        <v>38</v>
      </c>
      <c r="D3" s="23" t="s">
        <v>37</v>
      </c>
      <c r="E3" s="48" t="s">
        <v>38</v>
      </c>
      <c r="F3" s="20" t="s">
        <v>37</v>
      </c>
      <c r="G3" s="48" t="s">
        <v>38</v>
      </c>
      <c r="H3" s="32"/>
      <c r="I3" s="47"/>
      <c r="J3" s="32"/>
      <c r="K3" s="47"/>
      <c r="L3" s="33"/>
      <c r="M3" s="32"/>
    </row>
    <row r="4" spans="1:13" x14ac:dyDescent="0.25">
      <c r="A4" s="1">
        <v>1</v>
      </c>
      <c r="B4" s="28">
        <v>19.981999999999999</v>
      </c>
      <c r="C4" s="29">
        <v>19.981000000000002</v>
      </c>
      <c r="D4" s="28">
        <v>19.981000000000002</v>
      </c>
      <c r="E4" s="49">
        <v>19.981000000000002</v>
      </c>
      <c r="F4" s="1">
        <v>19.981000000000002</v>
      </c>
      <c r="G4" s="1">
        <v>19.975999999999999</v>
      </c>
      <c r="H4" s="34">
        <f>(B4+C4)/2</f>
        <v>19.9815</v>
      </c>
      <c r="I4" s="35">
        <f>MAX(B4:C4)-MIN(B4:C4)</f>
        <v>9.9999999999766942E-4</v>
      </c>
      <c r="J4" s="34">
        <f>(D4+E4)/2</f>
        <v>19.981000000000002</v>
      </c>
      <c r="K4" s="36">
        <f>MAX(D4:E4)-MIN(D4:E4)</f>
        <v>0</v>
      </c>
      <c r="L4" s="37">
        <f>(F4+G4)/2</f>
        <v>19.9785</v>
      </c>
      <c r="M4" s="37">
        <f>MAX(F4:G4)-MIN(F4:G4)</f>
        <v>5.000000000002558E-3</v>
      </c>
    </row>
    <row r="5" spans="1:13" x14ac:dyDescent="0.25">
      <c r="A5" s="1">
        <v>2</v>
      </c>
      <c r="B5" s="50">
        <v>19.994</v>
      </c>
      <c r="C5" s="51">
        <v>19.992999999999999</v>
      </c>
      <c r="D5" s="50">
        <v>20.001000000000001</v>
      </c>
      <c r="E5" s="52">
        <v>19.997</v>
      </c>
      <c r="F5" s="1">
        <v>19.995999999999999</v>
      </c>
      <c r="G5" s="1">
        <v>19.995999999999999</v>
      </c>
      <c r="H5" s="38">
        <f>(B5+C5)/2</f>
        <v>19.993499999999997</v>
      </c>
      <c r="I5" s="39">
        <f t="shared" ref="I5:M13" si="0">MAX(B5:C5)-MIN(B5:C5)</f>
        <v>1.0000000000012221E-3</v>
      </c>
      <c r="J5" s="38">
        <f t="shared" ref="H5:L13" si="1">(D5+E5)/2</f>
        <v>19.999000000000002</v>
      </c>
      <c r="K5" s="40">
        <f t="shared" si="0"/>
        <v>4.0000000000013358E-3</v>
      </c>
      <c r="L5" s="37">
        <f t="shared" si="1"/>
        <v>19.995999999999999</v>
      </c>
      <c r="M5" s="37">
        <f t="shared" si="0"/>
        <v>0</v>
      </c>
    </row>
    <row r="6" spans="1:13" x14ac:dyDescent="0.25">
      <c r="A6" s="1">
        <v>3</v>
      </c>
      <c r="B6" s="50">
        <v>20.222999999999999</v>
      </c>
      <c r="C6" s="51">
        <v>20.221</v>
      </c>
      <c r="D6" s="50">
        <v>20.219000000000001</v>
      </c>
      <c r="E6" s="52">
        <v>20.221</v>
      </c>
      <c r="F6" s="1">
        <v>20.222999999999999</v>
      </c>
      <c r="G6" s="1">
        <v>20.222000000000001</v>
      </c>
      <c r="H6" s="38">
        <f>(B6+C6)/2</f>
        <v>20.222000000000001</v>
      </c>
      <c r="I6" s="39">
        <f t="shared" si="0"/>
        <v>1.9999999999988916E-3</v>
      </c>
      <c r="J6" s="38">
        <f t="shared" si="1"/>
        <v>20.22</v>
      </c>
      <c r="K6" s="40">
        <f t="shared" si="0"/>
        <v>1.9999999999988916E-3</v>
      </c>
      <c r="L6" s="37">
        <f t="shared" si="1"/>
        <v>20.2225</v>
      </c>
      <c r="M6" s="37">
        <f t="shared" si="0"/>
        <v>9.9999999999766942E-4</v>
      </c>
    </row>
    <row r="7" spans="1:13" x14ac:dyDescent="0.25">
      <c r="A7" s="1">
        <v>4</v>
      </c>
      <c r="B7" s="50">
        <v>20.225999999999999</v>
      </c>
      <c r="C7" s="51">
        <v>20.225999999999999</v>
      </c>
      <c r="D7" s="50">
        <v>20.222000000000001</v>
      </c>
      <c r="E7" s="52">
        <v>20.225999999999999</v>
      </c>
      <c r="F7" s="1">
        <v>20.222999999999999</v>
      </c>
      <c r="G7" s="1">
        <v>20.224</v>
      </c>
      <c r="H7" s="38">
        <f t="shared" si="1"/>
        <v>20.225999999999999</v>
      </c>
      <c r="I7" s="39">
        <f t="shared" si="0"/>
        <v>0</v>
      </c>
      <c r="J7" s="38">
        <f t="shared" si="1"/>
        <v>20.224</v>
      </c>
      <c r="K7" s="40">
        <f t="shared" si="0"/>
        <v>3.9999999999977831E-3</v>
      </c>
      <c r="L7" s="37">
        <f t="shared" si="1"/>
        <v>20.223500000000001</v>
      </c>
      <c r="M7" s="37">
        <f t="shared" si="0"/>
        <v>1.0000000000012221E-3</v>
      </c>
    </row>
    <row r="8" spans="1:13" x14ac:dyDescent="0.25">
      <c r="A8" s="1">
        <v>5</v>
      </c>
      <c r="B8" s="50">
        <v>20.024999999999999</v>
      </c>
      <c r="C8" s="51">
        <v>19.994</v>
      </c>
      <c r="D8" s="50">
        <v>20.035</v>
      </c>
      <c r="E8" s="52">
        <v>20.033000000000001</v>
      </c>
      <c r="F8" s="1">
        <v>20.027999999999999</v>
      </c>
      <c r="G8" s="1">
        <v>20.024999999999999</v>
      </c>
      <c r="H8" s="38">
        <f t="shared" si="1"/>
        <v>20.009499999999999</v>
      </c>
      <c r="I8" s="39">
        <f t="shared" si="0"/>
        <v>3.0999999999998806E-2</v>
      </c>
      <c r="J8" s="38">
        <f t="shared" si="1"/>
        <v>20.033999999999999</v>
      </c>
      <c r="K8" s="40">
        <f t="shared" si="0"/>
        <v>1.9999999999988916E-3</v>
      </c>
      <c r="L8" s="37">
        <f t="shared" si="1"/>
        <v>20.026499999999999</v>
      </c>
      <c r="M8" s="37">
        <f t="shared" si="0"/>
        <v>3.0000000000001137E-3</v>
      </c>
    </row>
    <row r="9" spans="1:13" x14ac:dyDescent="0.25">
      <c r="A9" s="1">
        <v>6</v>
      </c>
      <c r="B9" s="50">
        <v>20.234000000000002</v>
      </c>
      <c r="C9" s="51">
        <v>20.233000000000001</v>
      </c>
      <c r="D9" s="50">
        <v>20.234000000000002</v>
      </c>
      <c r="E9" s="52">
        <v>20.234000000000002</v>
      </c>
      <c r="F9" s="1">
        <v>20.233000000000001</v>
      </c>
      <c r="G9" s="1">
        <v>20.227</v>
      </c>
      <c r="H9" s="38">
        <f t="shared" si="1"/>
        <v>20.233499999999999</v>
      </c>
      <c r="I9" s="39">
        <f t="shared" si="0"/>
        <v>1.0000000000012221E-3</v>
      </c>
      <c r="J9" s="38">
        <f t="shared" si="1"/>
        <v>20.234000000000002</v>
      </c>
      <c r="K9" s="40">
        <f>MAX(D9:E9)-MIN(D9:E9)</f>
        <v>0</v>
      </c>
      <c r="L9" s="37">
        <f t="shared" si="1"/>
        <v>20.23</v>
      </c>
      <c r="M9" s="37">
        <f t="shared" si="0"/>
        <v>6.0000000000002274E-3</v>
      </c>
    </row>
    <row r="10" spans="1:13" x14ac:dyDescent="0.25">
      <c r="A10" s="1">
        <v>7</v>
      </c>
      <c r="B10" s="50">
        <v>20.042999999999999</v>
      </c>
      <c r="C10" s="51">
        <v>20.042999999999999</v>
      </c>
      <c r="D10" s="50">
        <v>20.053999999999998</v>
      </c>
      <c r="E10" s="52">
        <v>20.050999999999998</v>
      </c>
      <c r="F10" s="1">
        <v>20.036999999999999</v>
      </c>
      <c r="G10" s="1">
        <v>20.035</v>
      </c>
      <c r="H10" s="38">
        <f t="shared" si="1"/>
        <v>20.042999999999999</v>
      </c>
      <c r="I10" s="39">
        <f t="shared" si="0"/>
        <v>0</v>
      </c>
      <c r="J10" s="38">
        <f t="shared" si="1"/>
        <v>20.052499999999998</v>
      </c>
      <c r="K10" s="40">
        <f t="shared" si="0"/>
        <v>3.0000000000001137E-3</v>
      </c>
      <c r="L10" s="37">
        <f t="shared" si="1"/>
        <v>20.036000000000001</v>
      </c>
      <c r="M10" s="37">
        <f t="shared" si="0"/>
        <v>1.9999999999988916E-3</v>
      </c>
    </row>
    <row r="11" spans="1:13" x14ac:dyDescent="0.25">
      <c r="A11" s="1">
        <v>8</v>
      </c>
      <c r="B11" s="38">
        <v>20.05</v>
      </c>
      <c r="C11" s="51">
        <v>20.048999999999999</v>
      </c>
      <c r="D11" s="50">
        <v>20.052</v>
      </c>
      <c r="E11" s="52">
        <v>20.050999999999998</v>
      </c>
      <c r="F11" s="1">
        <v>20.032</v>
      </c>
      <c r="G11" s="1">
        <v>20.032</v>
      </c>
      <c r="H11" s="38">
        <f t="shared" si="1"/>
        <v>20.049500000000002</v>
      </c>
      <c r="I11" s="39">
        <f t="shared" si="0"/>
        <v>1.0000000000012221E-3</v>
      </c>
      <c r="J11" s="38">
        <f t="shared" si="1"/>
        <v>20.051499999999997</v>
      </c>
      <c r="K11" s="40">
        <f t="shared" si="0"/>
        <v>1.0000000000012221E-3</v>
      </c>
      <c r="L11" s="37">
        <f t="shared" si="1"/>
        <v>20.032</v>
      </c>
      <c r="M11" s="37">
        <f t="shared" si="0"/>
        <v>0</v>
      </c>
    </row>
    <row r="12" spans="1:13" x14ac:dyDescent="0.25">
      <c r="A12" s="1">
        <v>9</v>
      </c>
      <c r="B12" s="50">
        <v>20.015000000000001</v>
      </c>
      <c r="C12" s="51">
        <v>20.016999999999999</v>
      </c>
      <c r="D12" s="50">
        <v>20.018000000000001</v>
      </c>
      <c r="E12" s="52">
        <v>20.016999999999999</v>
      </c>
      <c r="F12" s="1">
        <v>19.984999999999999</v>
      </c>
      <c r="G12" s="1">
        <v>19.978999999999999</v>
      </c>
      <c r="H12" s="38">
        <f t="shared" si="1"/>
        <v>20.015999999999998</v>
      </c>
      <c r="I12" s="39">
        <f t="shared" si="0"/>
        <v>1.9999999999988916E-3</v>
      </c>
      <c r="J12" s="38">
        <f t="shared" si="1"/>
        <v>20.017499999999998</v>
      </c>
      <c r="K12" s="40">
        <f t="shared" si="0"/>
        <v>1.0000000000012221E-3</v>
      </c>
      <c r="L12" s="37">
        <f t="shared" si="1"/>
        <v>19.981999999999999</v>
      </c>
      <c r="M12" s="37">
        <f t="shared" si="0"/>
        <v>6.0000000000002274E-3</v>
      </c>
    </row>
    <row r="13" spans="1:13" x14ac:dyDescent="0.25">
      <c r="A13" s="20">
        <v>10</v>
      </c>
      <c r="B13" s="41">
        <v>19.98</v>
      </c>
      <c r="C13" s="42">
        <v>19.98</v>
      </c>
      <c r="D13" s="41">
        <v>19.98</v>
      </c>
      <c r="E13" s="43">
        <v>19.98</v>
      </c>
      <c r="F13" s="42">
        <v>19.994</v>
      </c>
      <c r="G13" s="42">
        <v>19.98</v>
      </c>
      <c r="H13" s="41">
        <f t="shared" si="1"/>
        <v>19.98</v>
      </c>
      <c r="I13" s="42">
        <f t="shared" si="0"/>
        <v>0</v>
      </c>
      <c r="J13" s="41">
        <f>(D13+E13)/2</f>
        <v>19.98</v>
      </c>
      <c r="K13" s="43">
        <f t="shared" si="0"/>
        <v>0</v>
      </c>
      <c r="L13" s="42">
        <f t="shared" si="1"/>
        <v>19.987000000000002</v>
      </c>
      <c r="M13" s="42">
        <f t="shared" si="0"/>
        <v>1.3999999999999346E-2</v>
      </c>
    </row>
    <row r="15" spans="1:13" x14ac:dyDescent="0.25">
      <c r="F15" s="54" t="s">
        <v>50</v>
      </c>
      <c r="G15" s="54"/>
      <c r="H15" s="44">
        <f>AVERAGE(H4:H13)</f>
        <v>20.075449999999996</v>
      </c>
      <c r="I15" s="16"/>
      <c r="J15" s="44">
        <f>AVERAGE(J4:J13)</f>
        <v>20.079350000000002</v>
      </c>
      <c r="K15" s="16"/>
      <c r="L15" s="44">
        <f>AVERAGE(L4:L13)</f>
        <v>20.071400000000004</v>
      </c>
      <c r="M15" s="16"/>
    </row>
    <row r="16" spans="1:13" x14ac:dyDescent="0.25">
      <c r="F16" s="16"/>
      <c r="G16" s="55" t="s">
        <v>25</v>
      </c>
      <c r="H16" s="16"/>
      <c r="I16" s="53">
        <f>AVERAGE(I4:I13)</f>
        <v>3.8999999999997925E-3</v>
      </c>
      <c r="J16" s="16"/>
      <c r="K16" s="53">
        <f>AVERAGE(K4:K13)</f>
        <v>1.6999999999999459E-3</v>
      </c>
      <c r="L16" s="16"/>
      <c r="M16" s="53">
        <f>AVERAGE(M4:M13)</f>
        <v>3.8000000000000256E-3</v>
      </c>
    </row>
    <row r="18" spans="6:15" x14ac:dyDescent="0.25">
      <c r="F18" s="57" t="s">
        <v>51</v>
      </c>
      <c r="G18" s="57"/>
      <c r="H18" s="63">
        <f>(I16+K16+M16)/3</f>
        <v>3.133333333333255E-3</v>
      </c>
    </row>
    <row r="19" spans="6:15" x14ac:dyDescent="0.25">
      <c r="H19" s="1"/>
    </row>
    <row r="20" spans="6:15" x14ac:dyDescent="0.25">
      <c r="F20" s="58" t="s">
        <v>40</v>
      </c>
      <c r="G20" s="58"/>
      <c r="H20" s="64">
        <f>H18/1.128</f>
        <v>2.7777777777777085E-3</v>
      </c>
      <c r="J20" s="58" t="s">
        <v>46</v>
      </c>
      <c r="K20" s="58"/>
      <c r="L20" s="59">
        <f>H20^2</f>
        <v>7.716049382715665E-6</v>
      </c>
      <c r="N20" t="s">
        <v>66</v>
      </c>
      <c r="O20" t="s">
        <v>67</v>
      </c>
    </row>
    <row r="21" spans="6:15" x14ac:dyDescent="0.25">
      <c r="H21" s="1"/>
    </row>
    <row r="22" spans="6:15" x14ac:dyDescent="0.25">
      <c r="F22" s="60" t="s">
        <v>52</v>
      </c>
      <c r="G22" s="60"/>
      <c r="H22" s="65">
        <f>MAX(H15,J15,L15)-MIN(H15,J15,L15)</f>
        <v>7.9499999999974591E-3</v>
      </c>
      <c r="N22" t="s">
        <v>65</v>
      </c>
    </row>
    <row r="23" spans="6:15" x14ac:dyDescent="0.25">
      <c r="H23" s="1"/>
    </row>
    <row r="24" spans="6:15" x14ac:dyDescent="0.25">
      <c r="F24" s="68" t="s">
        <v>54</v>
      </c>
      <c r="G24" s="68"/>
      <c r="H24" s="69">
        <f>SQRT((H22/1.693)^2-L20/(2*10))</f>
        <v>4.6545455172767869E-3</v>
      </c>
      <c r="J24" s="68" t="s">
        <v>53</v>
      </c>
      <c r="K24" s="68"/>
      <c r="L24" s="70">
        <f>H24^2</f>
        <v>2.166479397240143E-5</v>
      </c>
      <c r="N24" t="s">
        <v>64</v>
      </c>
      <c r="O24" t="s">
        <v>68</v>
      </c>
    </row>
    <row r="25" spans="6:15" x14ac:dyDescent="0.25">
      <c r="H25" s="1"/>
    </row>
    <row r="26" spans="6:15" x14ac:dyDescent="0.25">
      <c r="F26" s="61" t="s">
        <v>44</v>
      </c>
      <c r="G26" s="61"/>
      <c r="H26" s="66">
        <f>SQRT(L20+L24)</f>
        <v>5.420409888109671E-3</v>
      </c>
      <c r="J26" s="61" t="s">
        <v>45</v>
      </c>
      <c r="K26" s="61"/>
      <c r="L26" s="62">
        <f>H26^2</f>
        <v>2.9380843355117095E-5</v>
      </c>
      <c r="N26" t="s">
        <v>63</v>
      </c>
    </row>
    <row r="28" spans="6:15" x14ac:dyDescent="0.25">
      <c r="G28" s="72" t="s">
        <v>55</v>
      </c>
      <c r="H28" s="71">
        <f>6*H26</f>
        <v>3.2522459328658028E-2</v>
      </c>
      <c r="N28" t="s">
        <v>62</v>
      </c>
    </row>
    <row r="30" spans="6:15" x14ac:dyDescent="0.25">
      <c r="F30" s="73" t="s">
        <v>57</v>
      </c>
      <c r="G30" s="73"/>
      <c r="H30" s="74">
        <f>SQRT(L30)</f>
        <v>0.10208125709868332</v>
      </c>
      <c r="I30" s="16"/>
      <c r="J30" s="73" t="s">
        <v>56</v>
      </c>
      <c r="K30" s="73"/>
      <c r="L30" s="75">
        <f>_xlfn.VAR.S(B4:G13)</f>
        <v>1.0420583050847483E-2</v>
      </c>
      <c r="N30" t="s">
        <v>61</v>
      </c>
    </row>
    <row r="31" spans="6:15" x14ac:dyDescent="0.25">
      <c r="F31" s="16"/>
      <c r="G31" s="16"/>
      <c r="H31" s="67"/>
      <c r="I31" s="16"/>
      <c r="J31" s="16"/>
      <c r="K31" s="16"/>
      <c r="L31" s="16"/>
    </row>
    <row r="32" spans="6:15" x14ac:dyDescent="0.25">
      <c r="F32" s="56" t="s">
        <v>58</v>
      </c>
      <c r="G32" s="56"/>
      <c r="H32" s="76">
        <f>SQRT(L32)</f>
        <v>0.10193724641902177</v>
      </c>
      <c r="I32" s="16"/>
      <c r="J32" s="56" t="s">
        <v>59</v>
      </c>
      <c r="K32" s="56"/>
      <c r="L32" s="77">
        <f>L30-L26</f>
        <v>1.0391202207492366E-2</v>
      </c>
      <c r="N32" t="s">
        <v>60</v>
      </c>
    </row>
  </sheetData>
  <mergeCells count="29">
    <mergeCell ref="F32:G32"/>
    <mergeCell ref="J32:K32"/>
    <mergeCell ref="F24:G24"/>
    <mergeCell ref="J24:K24"/>
    <mergeCell ref="J30:K30"/>
    <mergeCell ref="F30:G30"/>
    <mergeCell ref="F15:G15"/>
    <mergeCell ref="F18:G18"/>
    <mergeCell ref="F20:G20"/>
    <mergeCell ref="J20:K20"/>
    <mergeCell ref="F22:G22"/>
    <mergeCell ref="J26:K26"/>
    <mergeCell ref="F26:G26"/>
    <mergeCell ref="H1:I1"/>
    <mergeCell ref="J1:K1"/>
    <mergeCell ref="L1:M1"/>
    <mergeCell ref="H2:H3"/>
    <mergeCell ref="I2:I3"/>
    <mergeCell ref="J2:J3"/>
    <mergeCell ref="K2:K3"/>
    <mergeCell ref="L2:L3"/>
    <mergeCell ref="M2:M3"/>
    <mergeCell ref="A1:A3"/>
    <mergeCell ref="B1:C1"/>
    <mergeCell ref="D1:E1"/>
    <mergeCell ref="F1:G1"/>
    <mergeCell ref="B2:C2"/>
    <mergeCell ref="D2:E2"/>
    <mergeCell ref="F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4" sqref="J4"/>
    </sheetView>
  </sheetViews>
  <sheetFormatPr defaultRowHeight="15" x14ac:dyDescent="0.25"/>
  <cols>
    <col min="9" max="9" width="14.140625" customWidth="1"/>
  </cols>
  <sheetData>
    <row r="1" spans="1:10" x14ac:dyDescent="0.25">
      <c r="A1" s="18" t="s">
        <v>35</v>
      </c>
      <c r="B1" s="22" t="s">
        <v>36</v>
      </c>
      <c r="C1" s="21"/>
      <c r="D1" s="22"/>
      <c r="E1" s="21"/>
      <c r="F1" s="21"/>
      <c r="G1" s="21"/>
    </row>
    <row r="2" spans="1:10" x14ac:dyDescent="0.25">
      <c r="A2" s="19"/>
      <c r="B2" s="23" t="s">
        <v>37</v>
      </c>
      <c r="C2" s="20" t="s">
        <v>38</v>
      </c>
      <c r="D2" s="23" t="s">
        <v>34</v>
      </c>
      <c r="E2" s="20" t="s">
        <v>41</v>
      </c>
      <c r="F2" s="20" t="s">
        <v>42</v>
      </c>
      <c r="G2" s="20" t="s">
        <v>20</v>
      </c>
      <c r="I2" s="24" t="s">
        <v>39</v>
      </c>
      <c r="J2" s="17">
        <f>AVERAGE(G3:G22)</f>
        <v>28</v>
      </c>
    </row>
    <row r="3" spans="1:10" x14ac:dyDescent="0.25">
      <c r="A3" s="1">
        <v>1</v>
      </c>
      <c r="B3" s="1">
        <v>190</v>
      </c>
      <c r="C3" s="1">
        <v>230</v>
      </c>
      <c r="D3" s="1">
        <f>(B3+C3)/2</f>
        <v>210</v>
      </c>
      <c r="E3" s="1">
        <f>MAX(B3:C3)</f>
        <v>230</v>
      </c>
      <c r="F3" s="1">
        <f>MIN(B3:C3)</f>
        <v>190</v>
      </c>
      <c r="G3" s="1">
        <f>E3-F3</f>
        <v>40</v>
      </c>
      <c r="I3" t="s">
        <v>46</v>
      </c>
      <c r="J3" s="17">
        <f>(J2/1.128)^2</f>
        <v>616.16618882349997</v>
      </c>
    </row>
    <row r="4" spans="1:10" x14ac:dyDescent="0.25">
      <c r="A4" s="1">
        <v>2</v>
      </c>
      <c r="B4" s="1">
        <v>220</v>
      </c>
      <c r="C4" s="1">
        <v>280</v>
      </c>
      <c r="D4" s="1">
        <f t="shared" ref="D4:D22" si="0">(B4+C4)/2</f>
        <v>250</v>
      </c>
      <c r="E4" s="1">
        <f t="shared" ref="E4:E22" si="1">MAX(B4:C4)</f>
        <v>280</v>
      </c>
      <c r="F4" s="1">
        <f t="shared" ref="F4:F22" si="2">MIN(B4:C4)</f>
        <v>220</v>
      </c>
      <c r="G4" s="1">
        <f t="shared" ref="G4:G22" si="3">E4-F4</f>
        <v>60</v>
      </c>
      <c r="I4" t="s">
        <v>43</v>
      </c>
      <c r="J4" s="17">
        <f>AVERAGE(E3:E22)-AVERAGE(F3:F22)</f>
        <v>28</v>
      </c>
    </row>
    <row r="5" spans="1:10" x14ac:dyDescent="0.25">
      <c r="A5" s="1">
        <v>3</v>
      </c>
      <c r="B5" s="1">
        <v>190</v>
      </c>
      <c r="C5" s="1">
        <v>240</v>
      </c>
      <c r="D5" s="1">
        <f t="shared" si="0"/>
        <v>215</v>
      </c>
      <c r="E5" s="1">
        <f t="shared" si="1"/>
        <v>240</v>
      </c>
      <c r="F5" s="1">
        <f t="shared" si="2"/>
        <v>190</v>
      </c>
      <c r="G5" s="1">
        <f t="shared" si="3"/>
        <v>50</v>
      </c>
      <c r="I5" t="s">
        <v>45</v>
      </c>
      <c r="J5">
        <f>(J4/1.128)^2</f>
        <v>616.16618882349997</v>
      </c>
    </row>
    <row r="6" spans="1:10" x14ac:dyDescent="0.25">
      <c r="A6" s="1">
        <v>4</v>
      </c>
      <c r="B6" s="1">
        <v>280</v>
      </c>
      <c r="C6" s="1">
        <v>230</v>
      </c>
      <c r="D6" s="1">
        <f t="shared" si="0"/>
        <v>255</v>
      </c>
      <c r="E6" s="1">
        <f t="shared" si="1"/>
        <v>280</v>
      </c>
      <c r="F6" s="1">
        <f t="shared" si="2"/>
        <v>230</v>
      </c>
      <c r="G6" s="1">
        <f t="shared" si="3"/>
        <v>50</v>
      </c>
    </row>
    <row r="7" spans="1:10" x14ac:dyDescent="0.25">
      <c r="A7" s="1">
        <v>5</v>
      </c>
      <c r="B7" s="1">
        <v>160</v>
      </c>
      <c r="C7" s="1">
        <v>190</v>
      </c>
      <c r="D7" s="1">
        <f t="shared" si="0"/>
        <v>175</v>
      </c>
      <c r="E7" s="1">
        <f t="shared" si="1"/>
        <v>190</v>
      </c>
      <c r="F7" s="1">
        <f t="shared" si="2"/>
        <v>160</v>
      </c>
      <c r="G7" s="1">
        <f t="shared" si="3"/>
        <v>30</v>
      </c>
    </row>
    <row r="8" spans="1:10" x14ac:dyDescent="0.25">
      <c r="A8" s="1">
        <v>6</v>
      </c>
      <c r="B8" s="1">
        <v>200</v>
      </c>
      <c r="C8" s="1">
        <v>190</v>
      </c>
      <c r="D8" s="1">
        <f t="shared" si="0"/>
        <v>195</v>
      </c>
      <c r="E8" s="1">
        <f t="shared" si="1"/>
        <v>200</v>
      </c>
      <c r="F8" s="1">
        <f t="shared" si="2"/>
        <v>190</v>
      </c>
      <c r="G8" s="1">
        <f t="shared" si="3"/>
        <v>10</v>
      </c>
    </row>
    <row r="9" spans="1:10" x14ac:dyDescent="0.25">
      <c r="A9" s="1">
        <v>7</v>
      </c>
      <c r="B9" s="1">
        <v>210</v>
      </c>
      <c r="C9" s="1">
        <v>240</v>
      </c>
      <c r="D9" s="1">
        <f t="shared" si="0"/>
        <v>225</v>
      </c>
      <c r="E9" s="1">
        <f t="shared" si="1"/>
        <v>240</v>
      </c>
      <c r="F9" s="1">
        <f t="shared" si="2"/>
        <v>210</v>
      </c>
      <c r="G9" s="1">
        <f t="shared" si="3"/>
        <v>30</v>
      </c>
    </row>
    <row r="10" spans="1:10" x14ac:dyDescent="0.25">
      <c r="A10" s="1">
        <v>8</v>
      </c>
      <c r="B10" s="1">
        <v>170</v>
      </c>
      <c r="C10" s="1">
        <v>150</v>
      </c>
      <c r="D10" s="1">
        <f t="shared" si="0"/>
        <v>160</v>
      </c>
      <c r="E10" s="1">
        <f t="shared" si="1"/>
        <v>170</v>
      </c>
      <c r="F10" s="1">
        <f t="shared" si="2"/>
        <v>150</v>
      </c>
      <c r="G10" s="1">
        <f t="shared" si="3"/>
        <v>20</v>
      </c>
    </row>
    <row r="11" spans="1:10" x14ac:dyDescent="0.25">
      <c r="A11" s="1">
        <v>9</v>
      </c>
      <c r="B11" s="1">
        <v>240</v>
      </c>
      <c r="C11" s="1">
        <v>260</v>
      </c>
      <c r="D11" s="1">
        <f t="shared" si="0"/>
        <v>250</v>
      </c>
      <c r="E11" s="1">
        <f t="shared" si="1"/>
        <v>260</v>
      </c>
      <c r="F11" s="1">
        <f t="shared" si="2"/>
        <v>240</v>
      </c>
      <c r="G11" s="1">
        <f t="shared" si="3"/>
        <v>20</v>
      </c>
    </row>
    <row r="12" spans="1:10" x14ac:dyDescent="0.25">
      <c r="A12" s="1">
        <v>10</v>
      </c>
      <c r="B12" s="1">
        <v>250</v>
      </c>
      <c r="C12" s="1">
        <v>230</v>
      </c>
      <c r="D12" s="1">
        <f t="shared" si="0"/>
        <v>240</v>
      </c>
      <c r="E12" s="1">
        <f t="shared" si="1"/>
        <v>250</v>
      </c>
      <c r="F12" s="1">
        <f t="shared" si="2"/>
        <v>230</v>
      </c>
      <c r="G12" s="1">
        <f t="shared" si="3"/>
        <v>20</v>
      </c>
    </row>
    <row r="13" spans="1:10" x14ac:dyDescent="0.25">
      <c r="A13" s="1">
        <v>11</v>
      </c>
      <c r="B13" s="1">
        <v>200</v>
      </c>
      <c r="C13" s="1">
        <v>250</v>
      </c>
      <c r="D13" s="1">
        <f t="shared" si="0"/>
        <v>225</v>
      </c>
      <c r="E13" s="1">
        <f t="shared" si="1"/>
        <v>250</v>
      </c>
      <c r="F13" s="1">
        <f t="shared" si="2"/>
        <v>200</v>
      </c>
      <c r="G13" s="1">
        <f t="shared" si="3"/>
        <v>50</v>
      </c>
    </row>
    <row r="14" spans="1:10" x14ac:dyDescent="0.25">
      <c r="A14" s="1">
        <v>12</v>
      </c>
      <c r="B14" s="1">
        <v>160</v>
      </c>
      <c r="C14" s="1">
        <v>150</v>
      </c>
      <c r="D14" s="1">
        <f t="shared" si="0"/>
        <v>155</v>
      </c>
      <c r="E14" s="1">
        <f t="shared" si="1"/>
        <v>160</v>
      </c>
      <c r="F14" s="1">
        <f t="shared" si="2"/>
        <v>150</v>
      </c>
      <c r="G14" s="1">
        <f t="shared" si="3"/>
        <v>10</v>
      </c>
    </row>
    <row r="15" spans="1:10" x14ac:dyDescent="0.25">
      <c r="A15" s="1">
        <v>13</v>
      </c>
      <c r="B15" s="1">
        <v>250</v>
      </c>
      <c r="C15" s="1">
        <v>240</v>
      </c>
      <c r="D15" s="1">
        <f t="shared" si="0"/>
        <v>245</v>
      </c>
      <c r="E15" s="1">
        <f t="shared" si="1"/>
        <v>250</v>
      </c>
      <c r="F15" s="1">
        <f t="shared" si="2"/>
        <v>240</v>
      </c>
      <c r="G15" s="1">
        <f t="shared" si="3"/>
        <v>10</v>
      </c>
    </row>
    <row r="16" spans="1:10" x14ac:dyDescent="0.25">
      <c r="A16" s="1">
        <v>14</v>
      </c>
      <c r="B16" s="1">
        <v>240</v>
      </c>
      <c r="C16" s="1">
        <v>220</v>
      </c>
      <c r="D16" s="1">
        <f t="shared" si="0"/>
        <v>230</v>
      </c>
      <c r="E16" s="1">
        <f t="shared" si="1"/>
        <v>240</v>
      </c>
      <c r="F16" s="1">
        <f t="shared" si="2"/>
        <v>220</v>
      </c>
      <c r="G16" s="1">
        <f t="shared" si="3"/>
        <v>20</v>
      </c>
    </row>
    <row r="17" spans="1:7" x14ac:dyDescent="0.25">
      <c r="A17" s="1">
        <v>15</v>
      </c>
      <c r="B17" s="1">
        <v>310</v>
      </c>
      <c r="C17" s="1">
        <v>270</v>
      </c>
      <c r="D17" s="1">
        <f t="shared" si="0"/>
        <v>290</v>
      </c>
      <c r="E17" s="1">
        <f t="shared" si="1"/>
        <v>310</v>
      </c>
      <c r="F17" s="1">
        <f t="shared" si="2"/>
        <v>270</v>
      </c>
      <c r="G17" s="1">
        <f t="shared" si="3"/>
        <v>40</v>
      </c>
    </row>
    <row r="18" spans="1:7" x14ac:dyDescent="0.25">
      <c r="A18" s="1">
        <v>16</v>
      </c>
      <c r="B18" s="1">
        <v>240</v>
      </c>
      <c r="C18" s="1">
        <v>230</v>
      </c>
      <c r="D18" s="1">
        <f t="shared" si="0"/>
        <v>235</v>
      </c>
      <c r="E18" s="1">
        <f t="shared" si="1"/>
        <v>240</v>
      </c>
      <c r="F18" s="1">
        <f t="shared" si="2"/>
        <v>230</v>
      </c>
      <c r="G18" s="1">
        <f t="shared" si="3"/>
        <v>10</v>
      </c>
    </row>
    <row r="19" spans="1:7" x14ac:dyDescent="0.25">
      <c r="A19" s="1">
        <v>17</v>
      </c>
      <c r="B19" s="1">
        <v>200</v>
      </c>
      <c r="C19" s="1">
        <v>240</v>
      </c>
      <c r="D19" s="1">
        <f t="shared" si="0"/>
        <v>220</v>
      </c>
      <c r="E19" s="1">
        <f t="shared" si="1"/>
        <v>240</v>
      </c>
      <c r="F19" s="1">
        <f t="shared" si="2"/>
        <v>200</v>
      </c>
      <c r="G19" s="1">
        <f t="shared" si="3"/>
        <v>40</v>
      </c>
    </row>
    <row r="20" spans="1:7" x14ac:dyDescent="0.25">
      <c r="A20" s="1">
        <v>18</v>
      </c>
      <c r="B20" s="1">
        <v>170</v>
      </c>
      <c r="C20" s="1">
        <v>190</v>
      </c>
      <c r="D20" s="1">
        <f t="shared" si="0"/>
        <v>180</v>
      </c>
      <c r="E20" s="1">
        <f t="shared" si="1"/>
        <v>190</v>
      </c>
      <c r="F20" s="1">
        <f t="shared" si="2"/>
        <v>170</v>
      </c>
      <c r="G20" s="1">
        <f t="shared" si="3"/>
        <v>20</v>
      </c>
    </row>
    <row r="21" spans="1:7" x14ac:dyDescent="0.25">
      <c r="A21" s="1">
        <v>19</v>
      </c>
      <c r="B21" s="1">
        <v>250</v>
      </c>
      <c r="C21" s="1">
        <v>230</v>
      </c>
      <c r="D21" s="1">
        <f t="shared" si="0"/>
        <v>240</v>
      </c>
      <c r="E21" s="1">
        <f t="shared" si="1"/>
        <v>250</v>
      </c>
      <c r="F21" s="1">
        <f t="shared" si="2"/>
        <v>230</v>
      </c>
      <c r="G21" s="1">
        <f t="shared" si="3"/>
        <v>20</v>
      </c>
    </row>
    <row r="22" spans="1:7" x14ac:dyDescent="0.25">
      <c r="A22" s="20">
        <v>20</v>
      </c>
      <c r="B22" s="20">
        <v>170</v>
      </c>
      <c r="C22" s="20">
        <v>160</v>
      </c>
      <c r="D22" s="20">
        <f t="shared" si="0"/>
        <v>165</v>
      </c>
      <c r="E22" s="20">
        <f t="shared" si="1"/>
        <v>170</v>
      </c>
      <c r="F22" s="20">
        <f t="shared" si="2"/>
        <v>160</v>
      </c>
      <c r="G22" s="20">
        <f t="shared" si="3"/>
        <v>10</v>
      </c>
    </row>
  </sheetData>
  <mergeCells count="2">
    <mergeCell ref="B1:C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Exerc-2.2</vt:lpstr>
      <vt:lpstr>Exerc-3.1</vt:lpstr>
      <vt:lpstr>Tabela-5.2</vt:lpstr>
      <vt:lpstr>Exerc_5.4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RalphSilva</dc:creator>
  <cp:lastModifiedBy>RalphSilva</cp:lastModifiedBy>
  <dcterms:created xsi:type="dcterms:W3CDTF">2012-03-29T13:02:10Z</dcterms:created>
  <dcterms:modified xsi:type="dcterms:W3CDTF">2012-05-28T23:13:48Z</dcterms:modified>
</cp:coreProperties>
</file>