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firstSheet="2" activeTab="8"/>
  </bookViews>
  <sheets>
    <sheet name="Exerc-2.2" sheetId="1" r:id="rId1"/>
    <sheet name="Exerc-3.1" sheetId="2" r:id="rId2"/>
    <sheet name="Exerc-3.2" sheetId="4" r:id="rId3"/>
    <sheet name="Exerc-3.3" sheetId="5" r:id="rId4"/>
    <sheet name="Exerc-3.4" sheetId="6" r:id="rId5"/>
    <sheet name="Exerc-3.5" sheetId="7" r:id="rId6"/>
    <sheet name="Exerc-4.1" sheetId="3" r:id="rId7"/>
    <sheet name="prova01_01" sheetId="8" r:id="rId8"/>
    <sheet name="prova01_02" sheetId="11" r:id="rId9"/>
    <sheet name="Sheet2" sheetId="9" r:id="rId10"/>
  </sheets>
  <calcPr calcId="145621"/>
</workbook>
</file>

<file path=xl/calcChain.xml><?xml version="1.0" encoding="utf-8"?>
<calcChain xmlns="http://schemas.openxmlformats.org/spreadsheetml/2006/main">
  <c r="AB17" i="11" l="1"/>
  <c r="AB16" i="11"/>
  <c r="AB15" i="11"/>
  <c r="X13" i="11"/>
  <c r="Y13" i="11" s="1"/>
  <c r="X12" i="11"/>
  <c r="Y12" i="11" s="1"/>
  <c r="X15" i="11" s="1"/>
  <c r="M4" i="3"/>
  <c r="N2" i="3"/>
  <c r="N1" i="3"/>
  <c r="M2" i="3"/>
  <c r="M1" i="3"/>
  <c r="W8" i="11"/>
  <c r="W1" i="11"/>
  <c r="U5" i="11"/>
  <c r="V2" i="11"/>
  <c r="V1" i="11"/>
  <c r="U2" i="11"/>
  <c r="U1" i="11"/>
  <c r="C40" i="11" l="1"/>
  <c r="C32" i="11"/>
  <c r="B32" i="11"/>
  <c r="P3" i="11"/>
  <c r="Q3" i="11"/>
  <c r="R3" i="11"/>
  <c r="P4" i="11"/>
  <c r="Q4" i="11"/>
  <c r="R4" i="11"/>
  <c r="P5" i="11"/>
  <c r="Q5" i="11"/>
  <c r="R5" i="11"/>
  <c r="P6" i="11"/>
  <c r="Q6" i="11"/>
  <c r="R6" i="11"/>
  <c r="P7" i="11"/>
  <c r="Q7" i="11"/>
  <c r="R7" i="11"/>
  <c r="P8" i="11"/>
  <c r="Q8" i="11"/>
  <c r="R8" i="11"/>
  <c r="P9" i="11"/>
  <c r="Q9" i="11"/>
  <c r="R9" i="11"/>
  <c r="P10" i="11"/>
  <c r="Q10" i="11"/>
  <c r="R10" i="11"/>
  <c r="P11" i="11"/>
  <c r="Q11" i="11"/>
  <c r="R11" i="11"/>
  <c r="P12" i="11"/>
  <c r="Q12" i="11"/>
  <c r="R12" i="11"/>
  <c r="P13" i="11"/>
  <c r="Q13" i="11"/>
  <c r="R13" i="11"/>
  <c r="P14" i="11"/>
  <c r="Q14" i="11"/>
  <c r="R14" i="11"/>
  <c r="P15" i="11"/>
  <c r="Q15" i="11"/>
  <c r="R15" i="11"/>
  <c r="P16" i="11"/>
  <c r="Q16" i="11"/>
  <c r="R16" i="11"/>
  <c r="P17" i="11"/>
  <c r="Q17" i="11"/>
  <c r="R17" i="11"/>
  <c r="P18" i="11"/>
  <c r="Q18" i="11"/>
  <c r="R18" i="11"/>
  <c r="P19" i="11"/>
  <c r="Q19" i="11"/>
  <c r="R19" i="11"/>
  <c r="P20" i="11"/>
  <c r="Q20" i="11"/>
  <c r="R20" i="11"/>
  <c r="P21" i="11"/>
  <c r="Q21" i="11"/>
  <c r="R21" i="11"/>
  <c r="P22" i="11"/>
  <c r="Q22" i="11"/>
  <c r="R22" i="11"/>
  <c r="P23" i="11"/>
  <c r="Q23" i="11"/>
  <c r="R23" i="11"/>
  <c r="P24" i="11"/>
  <c r="Q24" i="11"/>
  <c r="R24" i="11"/>
  <c r="P25" i="11"/>
  <c r="Q25" i="11"/>
  <c r="R25" i="11"/>
  <c r="P26" i="11"/>
  <c r="Q26" i="11"/>
  <c r="R26" i="11"/>
  <c r="P27" i="11"/>
  <c r="Q27" i="11"/>
  <c r="R27" i="11"/>
  <c r="P28" i="11"/>
  <c r="Q28" i="11"/>
  <c r="R28" i="11"/>
  <c r="P29" i="11"/>
  <c r="Q29" i="11"/>
  <c r="R29" i="11"/>
  <c r="P30" i="11"/>
  <c r="Q30" i="11"/>
  <c r="R30" i="11"/>
  <c r="R2" i="11"/>
  <c r="Q2" i="11"/>
  <c r="P2" i="11"/>
  <c r="O10" i="11"/>
  <c r="O9" i="11"/>
  <c r="O8" i="11"/>
  <c r="O7" i="11"/>
  <c r="O5" i="11"/>
  <c r="O4" i="11"/>
  <c r="O3" i="11"/>
  <c r="O2" i="11"/>
  <c r="O1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2" i="11"/>
  <c r="F8" i="11"/>
  <c r="F1" i="11"/>
  <c r="F4" i="11" s="1"/>
  <c r="U6" i="11"/>
  <c r="AG26" i="8"/>
  <c r="AH26" i="8"/>
  <c r="AC3" i="8"/>
  <c r="AD3" i="8"/>
  <c r="AC4" i="8"/>
  <c r="AD4" i="8"/>
  <c r="AC5" i="8"/>
  <c r="AD5" i="8"/>
  <c r="AC6" i="8"/>
  <c r="AD6" i="8"/>
  <c r="AC7" i="8"/>
  <c r="AD7" i="8"/>
  <c r="AC8" i="8"/>
  <c r="AD8" i="8"/>
  <c r="AC9" i="8"/>
  <c r="AD9" i="8"/>
  <c r="AC10" i="8"/>
  <c r="AD10" i="8"/>
  <c r="AC11" i="8"/>
  <c r="AD11" i="8"/>
  <c r="AC12" i="8"/>
  <c r="AD12" i="8"/>
  <c r="AC13" i="8"/>
  <c r="AD13" i="8"/>
  <c r="AC14" i="8"/>
  <c r="AD14" i="8"/>
  <c r="AC15" i="8"/>
  <c r="AD15" i="8"/>
  <c r="AC16" i="8"/>
  <c r="AD16" i="8"/>
  <c r="AC17" i="8"/>
  <c r="AD17" i="8"/>
  <c r="AC18" i="8"/>
  <c r="AD18" i="8"/>
  <c r="AC19" i="8"/>
  <c r="AD19" i="8"/>
  <c r="AC20" i="8"/>
  <c r="AD20" i="8"/>
  <c r="AC21" i="8"/>
  <c r="AD21" i="8"/>
  <c r="AC22" i="8"/>
  <c r="AD22" i="8"/>
  <c r="AC23" i="8"/>
  <c r="AD23" i="8"/>
  <c r="AC24" i="8"/>
  <c r="AD24" i="8"/>
  <c r="AD2" i="8"/>
  <c r="AC2" i="8"/>
  <c r="AA10" i="8"/>
  <c r="AA9" i="8"/>
  <c r="AA8" i="8"/>
  <c r="AA7" i="8"/>
  <c r="S3" i="8"/>
  <c r="T3" i="8"/>
  <c r="S4" i="8"/>
  <c r="T4" i="8"/>
  <c r="S5" i="8"/>
  <c r="T5" i="8"/>
  <c r="S6" i="8"/>
  <c r="T6" i="8"/>
  <c r="S7" i="8"/>
  <c r="T7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S20" i="8"/>
  <c r="T20" i="8"/>
  <c r="S21" i="8"/>
  <c r="T21" i="8"/>
  <c r="S22" i="8"/>
  <c r="T22" i="8"/>
  <c r="S23" i="8"/>
  <c r="T23" i="8"/>
  <c r="S24" i="8"/>
  <c r="T24" i="8"/>
  <c r="S25" i="8"/>
  <c r="T25" i="8"/>
  <c r="T2" i="8"/>
  <c r="S2" i="8"/>
  <c r="Q10" i="8"/>
  <c r="Q9" i="8"/>
  <c r="Q8" i="8"/>
  <c r="Q7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" i="8"/>
  <c r="Q5" i="8"/>
  <c r="Q4" i="8"/>
  <c r="Q3" i="8"/>
  <c r="Q2" i="8"/>
  <c r="Q1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" i="8"/>
  <c r="H5" i="8"/>
  <c r="H4" i="8"/>
  <c r="H3" i="8"/>
  <c r="H2" i="8"/>
  <c r="H1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" i="8"/>
  <c r="F2" i="11" l="1"/>
  <c r="F16" i="3"/>
  <c r="E12" i="3"/>
  <c r="E13" i="3"/>
  <c r="F13" i="3"/>
  <c r="F12" i="3"/>
  <c r="E15" i="3" s="1"/>
  <c r="E2" i="3"/>
  <c r="E1" i="3"/>
  <c r="U1" i="5"/>
  <c r="F2" i="3"/>
  <c r="F1" i="3"/>
  <c r="AD5" i="7"/>
  <c r="AC5" i="7"/>
  <c r="AG2" i="7"/>
  <c r="AG1" i="7"/>
  <c r="AB5" i="7"/>
  <c r="AE5" i="7"/>
  <c r="AD4" i="7"/>
  <c r="AH2" i="7"/>
  <c r="AH1" i="7"/>
  <c r="AE4" i="7"/>
  <c r="AB2" i="7"/>
  <c r="AB1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5" i="7"/>
  <c r="V5" i="7"/>
  <c r="W4" i="7"/>
  <c r="V4" i="7"/>
  <c r="W3" i="7"/>
  <c r="V3" i="7"/>
  <c r="W2" i="7"/>
  <c r="V2" i="7"/>
  <c r="Y1" i="7" s="1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2" i="7"/>
  <c r="I1" i="7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2" i="7"/>
  <c r="N1" i="7" s="1"/>
  <c r="F5" i="11" l="1"/>
  <c r="F3" i="11"/>
  <c r="Y4" i="11"/>
  <c r="Z4" i="11" s="1"/>
  <c r="Y1" i="11"/>
  <c r="Z1" i="11" s="1"/>
  <c r="Y5" i="11"/>
  <c r="Z5" i="11" s="1"/>
  <c r="Y2" i="11"/>
  <c r="Z2" i="11" s="1"/>
  <c r="E4" i="3"/>
  <c r="Y3" i="7"/>
  <c r="I4" i="7"/>
  <c r="I2" i="7"/>
  <c r="N4" i="7" s="1"/>
  <c r="P2" i="7" s="1"/>
  <c r="N3" i="7"/>
  <c r="V5" i="6"/>
  <c r="U5" i="6"/>
  <c r="U4" i="11" l="1"/>
  <c r="U7" i="11"/>
  <c r="U8" i="11"/>
  <c r="Y2" i="7"/>
  <c r="Y4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N2" i="7"/>
  <c r="I5" i="7"/>
  <c r="I3" i="7"/>
  <c r="AC1" i="7"/>
  <c r="AC2" i="7"/>
  <c r="U2" i="6"/>
  <c r="U4" i="6"/>
  <c r="U1" i="6"/>
  <c r="V4" i="6"/>
  <c r="V2" i="6"/>
  <c r="V1" i="6"/>
  <c r="O10" i="6"/>
  <c r="O8" i="6"/>
  <c r="O7" i="6"/>
  <c r="O1" i="6"/>
  <c r="O2" i="6" s="1"/>
  <c r="F8" i="6"/>
  <c r="F1" i="6"/>
  <c r="F2" i="6" s="1"/>
  <c r="O4" i="6"/>
  <c r="F4" i="6"/>
  <c r="U6" i="5"/>
  <c r="Y10" i="4"/>
  <c r="Y8" i="4"/>
  <c r="P10" i="2"/>
  <c r="P8" i="2"/>
  <c r="Y5" i="4"/>
  <c r="Y2" i="4"/>
  <c r="P5" i="2"/>
  <c r="P2" i="2"/>
  <c r="O7" i="5"/>
  <c r="F8" i="5"/>
  <c r="F1" i="5"/>
  <c r="F2" i="5" s="1"/>
  <c r="F4" i="5"/>
  <c r="O1" i="5"/>
  <c r="O4" i="5" s="1"/>
  <c r="O16" i="7" l="1"/>
  <c r="O15" i="7"/>
  <c r="O14" i="7"/>
  <c r="O13" i="7"/>
  <c r="O12" i="7"/>
  <c r="O11" i="7"/>
  <c r="O10" i="7"/>
  <c r="O9" i="7"/>
  <c r="O8" i="7"/>
  <c r="O7" i="7"/>
  <c r="O6" i="7"/>
  <c r="O5" i="7"/>
  <c r="O4" i="7"/>
  <c r="O3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2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2" i="7"/>
  <c r="AB4" i="7"/>
  <c r="AC4" i="7" s="1"/>
  <c r="F5" i="6"/>
  <c r="F3" i="6"/>
  <c r="O5" i="6"/>
  <c r="O3" i="6"/>
  <c r="O9" i="6"/>
  <c r="F5" i="5"/>
  <c r="F3" i="5"/>
  <c r="O2" i="5"/>
  <c r="O8" i="5"/>
  <c r="O10" i="5"/>
  <c r="O9" i="5"/>
  <c r="O1" i="4"/>
  <c r="O2" i="4" s="1"/>
  <c r="O5" i="4" s="1"/>
  <c r="Y1" i="4"/>
  <c r="Z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" i="4"/>
  <c r="AB3" i="4"/>
  <c r="Y9" i="4"/>
  <c r="AA3" i="4"/>
  <c r="Y7" i="4"/>
  <c r="Y4" i="4"/>
  <c r="Y3" i="4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" i="2"/>
  <c r="O7" i="4"/>
  <c r="O4" i="4"/>
  <c r="F1" i="4"/>
  <c r="P14" i="2"/>
  <c r="S3" i="2"/>
  <c r="P7" i="2"/>
  <c r="P1" i="2"/>
  <c r="P9" i="2"/>
  <c r="R3" i="2"/>
  <c r="P4" i="2"/>
  <c r="P3" i="2"/>
  <c r="F7" i="2"/>
  <c r="F10" i="2" s="1"/>
  <c r="I3" i="2" s="1"/>
  <c r="F1" i="2"/>
  <c r="F2" i="2" s="1"/>
  <c r="F5" i="2" s="1"/>
  <c r="G3" i="2" s="1"/>
  <c r="B13" i="1"/>
  <c r="G2" i="1"/>
  <c r="B15" i="1"/>
  <c r="B14" i="1"/>
  <c r="B12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I2" i="1"/>
  <c r="H2" i="1"/>
  <c r="Q3" i="6" l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" i="6"/>
  <c r="U2" i="5"/>
  <c r="V2" i="5" s="1"/>
  <c r="Y5" i="5"/>
  <c r="Z5" i="5" s="1"/>
  <c r="Y2" i="5"/>
  <c r="Z2" i="5" s="1"/>
  <c r="V1" i="5"/>
  <c r="Y4" i="5"/>
  <c r="Z4" i="5" s="1"/>
  <c r="U8" i="5" s="1"/>
  <c r="Y1" i="5"/>
  <c r="Z1" i="5" s="1"/>
  <c r="U7" i="5" s="1"/>
  <c r="U4" i="5"/>
  <c r="U5" i="5" s="1"/>
  <c r="O5" i="5"/>
  <c r="W1" i="5" s="1"/>
  <c r="O3" i="5"/>
  <c r="F4" i="4"/>
  <c r="F2" i="4"/>
  <c r="F5" i="4" s="1"/>
  <c r="F4" i="2"/>
  <c r="F3" i="2"/>
  <c r="F9" i="2"/>
  <c r="F8" i="2"/>
  <c r="H3" i="2" s="1"/>
  <c r="G2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AA2" i="4"/>
  <c r="AB2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B18" i="4"/>
  <c r="AA18" i="4"/>
  <c r="AB17" i="4"/>
  <c r="AA17" i="4"/>
  <c r="AB16" i="4"/>
  <c r="AA16" i="4"/>
  <c r="AB15" i="4"/>
  <c r="AA15" i="4"/>
  <c r="AB14" i="4"/>
  <c r="AA14" i="4"/>
  <c r="AB13" i="4"/>
  <c r="AA13" i="4"/>
  <c r="AB12" i="4"/>
  <c r="AA12" i="4"/>
  <c r="AB11" i="4"/>
  <c r="AA11" i="4"/>
  <c r="AB10" i="4"/>
  <c r="AA10" i="4"/>
  <c r="AB9" i="4"/>
  <c r="AA9" i="4"/>
  <c r="AB8" i="4"/>
  <c r="AA8" i="4"/>
  <c r="AB7" i="4"/>
  <c r="AA7" i="4"/>
  <c r="AB6" i="4"/>
  <c r="AA6" i="4"/>
  <c r="AB5" i="4"/>
  <c r="AA5" i="4"/>
  <c r="AB4" i="4"/>
  <c r="AA4" i="4"/>
  <c r="R2" i="2"/>
  <c r="S2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S8" i="2"/>
  <c r="R8" i="2"/>
  <c r="S7" i="2"/>
  <c r="R7" i="2"/>
  <c r="S6" i="2"/>
  <c r="R6" i="2"/>
  <c r="S5" i="2"/>
  <c r="R5" i="2"/>
  <c r="S4" i="2"/>
  <c r="R4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" i="2"/>
  <c r="H2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O8" i="4"/>
  <c r="O9" i="4"/>
  <c r="H31" i="5" l="1"/>
  <c r="H30" i="5"/>
  <c r="H29" i="5"/>
  <c r="H28" i="5"/>
  <c r="H27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2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" i="4"/>
  <c r="O3" i="4"/>
  <c r="O10" i="4"/>
  <c r="F3" i="4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" i="4"/>
</calcChain>
</file>

<file path=xl/sharedStrings.xml><?xml version="1.0" encoding="utf-8"?>
<sst xmlns="http://schemas.openxmlformats.org/spreadsheetml/2006/main" count="377" uniqueCount="61">
  <si>
    <t>Subgrupo</t>
  </si>
  <si>
    <t>Xi1</t>
  </si>
  <si>
    <t>Xi2</t>
  </si>
  <si>
    <t>Xi3</t>
  </si>
  <si>
    <t>Xi4</t>
  </si>
  <si>
    <t>Xi5</t>
  </si>
  <si>
    <t>Xibarra</t>
  </si>
  <si>
    <t>Ri</t>
  </si>
  <si>
    <t>Si</t>
  </si>
  <si>
    <t xml:space="preserve">Sb = </t>
  </si>
  <si>
    <t xml:space="preserve">Sc = </t>
  </si>
  <si>
    <t xml:space="preserve">Sd = </t>
  </si>
  <si>
    <t xml:space="preserve">Sa = </t>
  </si>
  <si>
    <t>c4 = 0.965</t>
  </si>
  <si>
    <t>c4 = 0.940</t>
  </si>
  <si>
    <t>m = 8</t>
  </si>
  <si>
    <t>n = 5</t>
  </si>
  <si>
    <t>d2 = 2,326</t>
  </si>
  <si>
    <t>N Amostra</t>
  </si>
  <si>
    <t>Xbarra</t>
  </si>
  <si>
    <t>R</t>
  </si>
  <si>
    <t xml:space="preserve">sigma = </t>
  </si>
  <si>
    <t xml:space="preserve">LIC_R = </t>
  </si>
  <si>
    <t xml:space="preserve">LSC_R = </t>
  </si>
  <si>
    <t xml:space="preserve">LM_R = </t>
  </si>
  <si>
    <t xml:space="preserve">Rbarra = </t>
  </si>
  <si>
    <t xml:space="preserve">LSC_Xbarra = </t>
  </si>
  <si>
    <t xml:space="preserve">LM_Xbarra = </t>
  </si>
  <si>
    <t xml:space="preserve">LIC_Xbarra = </t>
  </si>
  <si>
    <t xml:space="preserve">Xbarrabarra = </t>
  </si>
  <si>
    <t xml:space="preserve">alpha = </t>
  </si>
  <si>
    <t xml:space="preserve">1 / alpha = </t>
  </si>
  <si>
    <t>Amplitude</t>
  </si>
  <si>
    <t xml:space="preserve">Xbarra </t>
  </si>
  <si>
    <t>xbarra</t>
  </si>
  <si>
    <t xml:space="preserve">Z_LIC = </t>
  </si>
  <si>
    <t>Z_LSC =</t>
  </si>
  <si>
    <t>3.3b)</t>
  </si>
  <si>
    <t>3.3c)</t>
  </si>
  <si>
    <t>3.3d)</t>
  </si>
  <si>
    <t>3.3e)</t>
  </si>
  <si>
    <t>3.3f)</t>
  </si>
  <si>
    <t>3.4b)</t>
  </si>
  <si>
    <t>3.4c)</t>
  </si>
  <si>
    <t>3.4d)</t>
  </si>
  <si>
    <t>X1</t>
  </si>
  <si>
    <t>X2</t>
  </si>
  <si>
    <t>X3</t>
  </si>
  <si>
    <t>Para ser feito pelo aluno</t>
  </si>
  <si>
    <t>4.1)</t>
  </si>
  <si>
    <t>4.2)</t>
  </si>
  <si>
    <t xml:space="preserve">cpk = </t>
  </si>
  <si>
    <t>processo incapaz</t>
  </si>
  <si>
    <t>XbarraVellho</t>
  </si>
  <si>
    <t>Rvelho</t>
  </si>
  <si>
    <t>&amp;</t>
  </si>
  <si>
    <t>\\</t>
  </si>
  <si>
    <t xml:space="preserve">Soma = </t>
  </si>
  <si>
    <t xml:space="preserve">SOMA = </t>
  </si>
  <si>
    <t>Questao 3</t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</si>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</sst>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"/>
    <numFmt numFmtId="167" formatCode="0.000000000000000"/>
    <numFmt numFmtId="170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166" fontId="0" fillId="0" borderId="0" xfId="0" applyNumberFormat="1"/>
    <xf numFmtId="2" fontId="6" fillId="0" borderId="0" xfId="0" applyNumberFormat="1" applyFont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2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right"/>
    </xf>
    <xf numFmtId="0" fontId="6" fillId="5" borderId="0" xfId="0" applyFont="1" applyFill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6" borderId="0" xfId="0" applyFill="1"/>
    <xf numFmtId="165" fontId="6" fillId="5" borderId="0" xfId="0" applyNumberFormat="1" applyFont="1" applyFill="1"/>
    <xf numFmtId="166" fontId="6" fillId="5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66" fontId="4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center"/>
    </xf>
    <xf numFmtId="165" fontId="4" fillId="7" borderId="0" xfId="0" applyNumberFormat="1" applyFont="1" applyFill="1" applyAlignment="1">
      <alignment horizontal="center"/>
    </xf>
    <xf numFmtId="166" fontId="6" fillId="7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5" fontId="6" fillId="5" borderId="0" xfId="0" applyNumberFormat="1" applyFont="1" applyFill="1" applyAlignment="1">
      <alignment horizontal="center"/>
    </xf>
    <xf numFmtId="2" fontId="0" fillId="0" borderId="0" xfId="0" applyNumberFormat="1"/>
    <xf numFmtId="164" fontId="0" fillId="0" borderId="0" xfId="0" applyNumberFormat="1"/>
    <xf numFmtId="167" fontId="6" fillId="5" borderId="0" xfId="0" applyNumberFormat="1" applyFont="1" applyFill="1"/>
    <xf numFmtId="170" fontId="6" fillId="5" borderId="0" xfId="0" applyNumberFormat="1" applyFont="1" applyFill="1"/>
    <xf numFmtId="0" fontId="0" fillId="8" borderId="0" xfId="0" applyFill="1"/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\" TargetMode="External"/><Relationship Id="rId2" Type="http://schemas.openxmlformats.org/officeDocument/2006/relationships/hyperlink" Target="\" TargetMode="External"/><Relationship Id="rId1" Type="http://schemas.openxmlformats.org/officeDocument/2006/relationships/hyperlink" Target="\" TargetMode="External"/><Relationship Id="rId6" Type="http://schemas.openxmlformats.org/officeDocument/2006/relationships/hyperlink" Target="\" TargetMode="External"/><Relationship Id="rId5" Type="http://schemas.openxmlformats.org/officeDocument/2006/relationships/hyperlink" Target="\" TargetMode="External"/><Relationship Id="rId4" Type="http://schemas.openxmlformats.org/officeDocument/2006/relationships/hyperlink" Target="\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15" sqref="F15"/>
    </sheetView>
  </sheetViews>
  <sheetFormatPr defaultRowHeight="15" x14ac:dyDescent="0.25"/>
  <cols>
    <col min="2" max="2" width="9.5703125" customWidth="1"/>
    <col min="9" max="9" width="9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">
        <v>1</v>
      </c>
      <c r="B2" s="3">
        <v>439.5</v>
      </c>
      <c r="C2" s="3">
        <v>453.3</v>
      </c>
      <c r="D2" s="3">
        <v>449.3</v>
      </c>
      <c r="E2" s="3">
        <v>452</v>
      </c>
      <c r="F2" s="3">
        <v>444.9</v>
      </c>
      <c r="G2" s="3">
        <f>AVERAGE(B2:F2)</f>
        <v>447.8</v>
      </c>
      <c r="H2" s="3">
        <f>MAX(B2:F2)-MIN(B2:F2)</f>
        <v>13.800000000000011</v>
      </c>
      <c r="I2" s="4">
        <f>SQRT(VAR(B2:F2))</f>
        <v>5.6444663166680398</v>
      </c>
    </row>
    <row r="3" spans="1:9" x14ac:dyDescent="0.25">
      <c r="A3" s="1">
        <v>2</v>
      </c>
      <c r="B3" s="3">
        <v>447.9</v>
      </c>
      <c r="C3" s="3">
        <v>441.9</v>
      </c>
      <c r="D3" s="3">
        <v>445.6</v>
      </c>
      <c r="E3" s="3">
        <v>445.7</v>
      </c>
      <c r="F3" s="3">
        <v>443.1</v>
      </c>
      <c r="G3" s="3">
        <f t="shared" ref="G3:G9" si="0">AVERAGE(B3:F3)</f>
        <v>444.84000000000003</v>
      </c>
      <c r="H3" s="3">
        <f t="shared" ref="H3:H9" si="1">MAX(B3:F3)-MIN(B3:F3)</f>
        <v>6</v>
      </c>
      <c r="I3" s="4">
        <f t="shared" ref="I3:I9" si="2">SQRT(VAR(B3:F3))</f>
        <v>2.3638950907347778</v>
      </c>
    </row>
    <row r="4" spans="1:9" x14ac:dyDescent="0.25">
      <c r="A4" s="1">
        <v>3</v>
      </c>
      <c r="B4" s="3">
        <v>447.8</v>
      </c>
      <c r="C4" s="3">
        <v>448</v>
      </c>
      <c r="D4" s="3">
        <v>445.6</v>
      </c>
      <c r="E4" s="3">
        <v>444.4</v>
      </c>
      <c r="F4" s="3">
        <v>440.8</v>
      </c>
      <c r="G4" s="3">
        <f t="shared" si="0"/>
        <v>445.32000000000005</v>
      </c>
      <c r="H4" s="3">
        <f t="shared" si="1"/>
        <v>7.1999999999999886</v>
      </c>
      <c r="I4" s="4">
        <f t="shared" si="2"/>
        <v>2.9448259710889544</v>
      </c>
    </row>
    <row r="5" spans="1:9" x14ac:dyDescent="0.25">
      <c r="A5" s="1">
        <v>4</v>
      </c>
      <c r="B5" s="3">
        <v>439.9</v>
      </c>
      <c r="C5" s="3">
        <v>448.7</v>
      </c>
      <c r="D5" s="3">
        <v>445.3</v>
      </c>
      <c r="E5" s="3">
        <v>440.2</v>
      </c>
      <c r="F5" s="3">
        <v>443.2</v>
      </c>
      <c r="G5" s="3">
        <f t="shared" si="0"/>
        <v>443.45999999999992</v>
      </c>
      <c r="H5" s="3">
        <f t="shared" si="1"/>
        <v>8.8000000000000114</v>
      </c>
      <c r="I5" s="4">
        <f t="shared" si="2"/>
        <v>3.6814399356773486</v>
      </c>
    </row>
    <row r="6" spans="1:9" x14ac:dyDescent="0.25">
      <c r="A6" s="1">
        <v>5</v>
      </c>
      <c r="B6" s="3">
        <v>443.4</v>
      </c>
      <c r="C6" s="3">
        <v>453</v>
      </c>
      <c r="D6" s="3">
        <v>453.5</v>
      </c>
      <c r="E6" s="3">
        <v>441.1</v>
      </c>
      <c r="F6" s="3">
        <v>445</v>
      </c>
      <c r="G6" s="3">
        <f t="shared" si="0"/>
        <v>447.2</v>
      </c>
      <c r="H6" s="3">
        <f t="shared" si="1"/>
        <v>12.399999999999977</v>
      </c>
      <c r="I6" s="4">
        <f t="shared" si="2"/>
        <v>5.6969289972756352</v>
      </c>
    </row>
    <row r="7" spans="1:9" x14ac:dyDescent="0.25">
      <c r="A7" s="1">
        <v>6</v>
      </c>
      <c r="B7" s="3">
        <v>447.5</v>
      </c>
      <c r="C7" s="3">
        <v>450.8</v>
      </c>
      <c r="D7" s="3">
        <v>445.8</v>
      </c>
      <c r="E7" s="3">
        <v>444.4</v>
      </c>
      <c r="F7" s="3">
        <v>444.5</v>
      </c>
      <c r="G7" s="3">
        <f t="shared" si="0"/>
        <v>446.6</v>
      </c>
      <c r="H7" s="3">
        <f t="shared" si="1"/>
        <v>6.4000000000000341</v>
      </c>
      <c r="I7" s="4">
        <f t="shared" si="2"/>
        <v>2.6617663308412411</v>
      </c>
    </row>
    <row r="8" spans="1:9" x14ac:dyDescent="0.25">
      <c r="A8" s="1">
        <v>7</v>
      </c>
      <c r="B8" s="3">
        <v>446.8</v>
      </c>
      <c r="C8" s="3">
        <v>449.2</v>
      </c>
      <c r="D8" s="3">
        <v>444.9</v>
      </c>
      <c r="E8" s="3">
        <v>453</v>
      </c>
      <c r="F8" s="3">
        <v>452.4</v>
      </c>
      <c r="G8" s="3">
        <f t="shared" si="0"/>
        <v>449.26000000000005</v>
      </c>
      <c r="H8" s="3">
        <f t="shared" si="1"/>
        <v>8.1000000000000227</v>
      </c>
      <c r="I8" s="4">
        <f t="shared" si="2"/>
        <v>3.4968557305099108</v>
      </c>
    </row>
    <row r="9" spans="1:9" x14ac:dyDescent="0.25">
      <c r="A9" s="1">
        <v>8</v>
      </c>
      <c r="B9" s="3">
        <v>449.9</v>
      </c>
      <c r="C9" s="3">
        <v>442.7</v>
      </c>
      <c r="D9" s="3">
        <v>447.1</v>
      </c>
      <c r="E9" s="3">
        <v>441.8</v>
      </c>
      <c r="F9" s="3">
        <v>452.4</v>
      </c>
      <c r="G9" s="3">
        <f t="shared" si="0"/>
        <v>446.77999999999992</v>
      </c>
      <c r="H9" s="3">
        <f t="shared" si="1"/>
        <v>10.599999999999966</v>
      </c>
      <c r="I9" s="4">
        <f t="shared" si="2"/>
        <v>4.5515931276861616</v>
      </c>
    </row>
    <row r="12" spans="1:9" x14ac:dyDescent="0.25">
      <c r="A12" s="5" t="s">
        <v>12</v>
      </c>
      <c r="B12" s="2">
        <f>SQRT(VAR(B2:F9))</f>
        <v>4.0657031750599195</v>
      </c>
    </row>
    <row r="13" spans="1:9" x14ac:dyDescent="0.25">
      <c r="A13" s="5" t="s">
        <v>9</v>
      </c>
      <c r="B13" s="2">
        <f>SQRT(VAR(G2:G9)*5)/0.965</f>
        <v>4.219097614502572</v>
      </c>
      <c r="C13" s="1" t="s">
        <v>13</v>
      </c>
      <c r="D13" s="1" t="s">
        <v>15</v>
      </c>
    </row>
    <row r="14" spans="1:9" x14ac:dyDescent="0.25">
      <c r="A14" s="5" t="s">
        <v>10</v>
      </c>
      <c r="B14" s="2">
        <f>AVERAGE(I2:I9)/0.94</f>
        <v>4.127895146340701</v>
      </c>
      <c r="C14" s="1" t="s">
        <v>14</v>
      </c>
      <c r="D14" s="1" t="s">
        <v>16</v>
      </c>
    </row>
    <row r="15" spans="1:9" x14ac:dyDescent="0.25">
      <c r="A15" s="5" t="s">
        <v>11</v>
      </c>
      <c r="B15" s="2">
        <f>AVERAGE(H2:H9)/2.326</f>
        <v>3.9391659501289773</v>
      </c>
      <c r="C15" s="1" t="s">
        <v>17</v>
      </c>
      <c r="D15" s="1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K15" sqref="J15:K15"/>
    </sheetView>
  </sheetViews>
  <sheetFormatPr defaultRowHeight="15" x14ac:dyDescent="0.25"/>
  <cols>
    <col min="1" max="1" width="9.140625" customWidth="1"/>
    <col min="2" max="2" width="3.5703125" customWidth="1"/>
    <col min="3" max="3" width="9.140625" customWidth="1"/>
    <col min="4" max="4" width="3.5703125" customWidth="1"/>
    <col min="5" max="5" width="9.140625" customWidth="1"/>
    <col min="6" max="6" width="3.5703125" customWidth="1"/>
    <col min="7" max="7" width="9.140625" customWidth="1"/>
    <col min="8" max="8" width="3.5703125" customWidth="1"/>
    <col min="9" max="9" width="9.140625" customWidth="1"/>
    <col min="10" max="10" width="3.5703125" customWidth="1"/>
    <col min="11" max="11" width="9.140625" customWidth="1"/>
    <col min="12" max="12" width="3.5703125" customWidth="1"/>
    <col min="14" max="14" width="3.5703125" customWidth="1"/>
    <col min="16" max="16" width="3.5703125" customWidth="1"/>
    <col min="18" max="18" width="3.5703125" customWidth="1"/>
    <col min="20" max="20" width="3.5703125" customWidth="1"/>
  </cols>
  <sheetData>
    <row r="1" spans="1:21" x14ac:dyDescent="0.25">
      <c r="A1" s="2">
        <v>15</v>
      </c>
      <c r="B1" s="1" t="s">
        <v>55</v>
      </c>
      <c r="C1" s="2">
        <v>6.18</v>
      </c>
      <c r="D1" s="1" t="s">
        <v>55</v>
      </c>
      <c r="E1" s="2">
        <v>16</v>
      </c>
      <c r="F1" s="1" t="s">
        <v>55</v>
      </c>
      <c r="G1" s="2">
        <v>6.18</v>
      </c>
      <c r="H1" s="1" t="s">
        <v>55</v>
      </c>
      <c r="I1" s="2">
        <v>15</v>
      </c>
      <c r="J1" s="1" t="s">
        <v>55</v>
      </c>
      <c r="K1" s="2">
        <v>11.87</v>
      </c>
      <c r="L1" s="1" t="s">
        <v>55</v>
      </c>
      <c r="M1" s="2">
        <v>14</v>
      </c>
      <c r="N1" s="1" t="s">
        <v>55</v>
      </c>
      <c r="O1" s="2">
        <v>6.18</v>
      </c>
      <c r="P1" s="1" t="s">
        <v>55</v>
      </c>
      <c r="Q1" s="2">
        <v>14.9</v>
      </c>
      <c r="R1" s="1" t="s">
        <v>55</v>
      </c>
      <c r="S1" s="2">
        <v>7.86</v>
      </c>
      <c r="T1" s="1" t="s">
        <v>56</v>
      </c>
      <c r="U1" s="43"/>
    </row>
    <row r="2" spans="1:21" x14ac:dyDescent="0.25">
      <c r="A2" s="2">
        <v>17.05</v>
      </c>
      <c r="B2" s="1" t="s">
        <v>55</v>
      </c>
      <c r="C2" s="2">
        <v>9.27</v>
      </c>
      <c r="D2" s="1" t="s">
        <v>55</v>
      </c>
      <c r="E2" s="2">
        <v>13.25</v>
      </c>
      <c r="F2" s="1" t="s">
        <v>55</v>
      </c>
      <c r="G2" s="2">
        <v>9.18</v>
      </c>
      <c r="H2" s="1" t="s">
        <v>55</v>
      </c>
      <c r="I2" s="2">
        <v>12.95</v>
      </c>
      <c r="J2" s="1" t="s">
        <v>55</v>
      </c>
      <c r="K2" s="2">
        <v>4.5</v>
      </c>
      <c r="L2" s="1" t="s">
        <v>55</v>
      </c>
      <c r="M2" s="2">
        <v>15.2</v>
      </c>
      <c r="N2" s="1" t="s">
        <v>55</v>
      </c>
      <c r="O2" s="2">
        <v>9</v>
      </c>
      <c r="P2" s="1" t="s">
        <v>55</v>
      </c>
      <c r="Q2" s="2">
        <v>15</v>
      </c>
      <c r="R2" s="1" t="s">
        <v>55</v>
      </c>
      <c r="S2" s="2">
        <v>6.14</v>
      </c>
      <c r="T2" s="1" t="s">
        <v>56</v>
      </c>
      <c r="U2" s="44"/>
    </row>
    <row r="3" spans="1:21" x14ac:dyDescent="0.25">
      <c r="A3" s="2">
        <v>13.1</v>
      </c>
      <c r="B3" s="1" t="s">
        <v>55</v>
      </c>
      <c r="C3" s="2">
        <v>6</v>
      </c>
      <c r="D3" s="1" t="s">
        <v>55</v>
      </c>
      <c r="E3" s="2">
        <v>14.9</v>
      </c>
      <c r="F3" s="1" t="s">
        <v>55</v>
      </c>
      <c r="G3" s="7">
        <v>15.299999999999999</v>
      </c>
      <c r="H3" s="1" t="s">
        <v>55</v>
      </c>
      <c r="I3" s="2">
        <v>15</v>
      </c>
      <c r="J3" s="1" t="s">
        <v>55</v>
      </c>
      <c r="K3" s="2">
        <v>6.36</v>
      </c>
      <c r="L3" s="1" t="s">
        <v>55</v>
      </c>
      <c r="M3" s="2">
        <v>13.85</v>
      </c>
      <c r="N3" s="1" t="s">
        <v>55</v>
      </c>
      <c r="O3" s="2">
        <v>3.18</v>
      </c>
      <c r="P3" s="1" t="s">
        <v>55</v>
      </c>
      <c r="Q3" s="2">
        <v>14.9</v>
      </c>
      <c r="R3" s="1" t="s">
        <v>55</v>
      </c>
      <c r="S3" s="2">
        <v>6.36</v>
      </c>
      <c r="T3" s="1" t="s">
        <v>56</v>
      </c>
    </row>
    <row r="4" spans="1:21" x14ac:dyDescent="0.25">
      <c r="A4" s="2">
        <v>16.149999999999999</v>
      </c>
      <c r="B4" s="1" t="s">
        <v>55</v>
      </c>
      <c r="C4" s="2">
        <v>10.56</v>
      </c>
      <c r="D4" s="1" t="s">
        <v>55</v>
      </c>
      <c r="E4" s="2">
        <v>15</v>
      </c>
      <c r="F4" s="1" t="s">
        <v>55</v>
      </c>
      <c r="G4" s="2">
        <v>3.09</v>
      </c>
      <c r="H4" s="1" t="s">
        <v>55</v>
      </c>
      <c r="I4" s="2">
        <v>17.100000000000001</v>
      </c>
      <c r="J4" s="1" t="s">
        <v>55</v>
      </c>
      <c r="K4" s="2">
        <v>3</v>
      </c>
      <c r="L4" s="1" t="s">
        <v>55</v>
      </c>
      <c r="M4" s="2">
        <v>13.9</v>
      </c>
      <c r="N4" s="1" t="s">
        <v>55</v>
      </c>
      <c r="O4" s="2">
        <v>6.18</v>
      </c>
      <c r="P4" s="1" t="s">
        <v>55</v>
      </c>
      <c r="Q4" s="2">
        <v>16.55</v>
      </c>
      <c r="R4" s="1" t="s">
        <v>55</v>
      </c>
      <c r="S4" s="2">
        <v>6.23</v>
      </c>
      <c r="T4" s="1" t="s">
        <v>56</v>
      </c>
    </row>
    <row r="5" spans="1:21" x14ac:dyDescent="0.25">
      <c r="A5" s="2">
        <v>12.9</v>
      </c>
      <c r="B5" s="1" t="s">
        <v>55</v>
      </c>
      <c r="C5" s="2">
        <v>6.18</v>
      </c>
      <c r="D5" s="1" t="s">
        <v>55</v>
      </c>
      <c r="E5" s="2">
        <v>16.100000000000001</v>
      </c>
      <c r="F5" s="1" t="s">
        <v>55</v>
      </c>
      <c r="G5" s="2">
        <v>12.24</v>
      </c>
      <c r="H5" s="1" t="s">
        <v>55</v>
      </c>
      <c r="I5" s="2">
        <v>14.9</v>
      </c>
      <c r="J5" s="1" t="s">
        <v>55</v>
      </c>
      <c r="K5" s="2">
        <v>6.18</v>
      </c>
      <c r="L5" s="1" t="s">
        <v>55</v>
      </c>
      <c r="M5" s="2">
        <v>16</v>
      </c>
      <c r="N5" s="1" t="s">
        <v>55</v>
      </c>
      <c r="O5" s="2">
        <v>1.79</v>
      </c>
      <c r="P5" s="1" t="s">
        <v>55</v>
      </c>
      <c r="Q5" s="2">
        <v>15</v>
      </c>
      <c r="R5" s="1" t="s">
        <v>55</v>
      </c>
      <c r="S5" s="2">
        <v>6.18</v>
      </c>
      <c r="T5" s="1" t="s">
        <v>56</v>
      </c>
    </row>
    <row r="6" spans="1:21" x14ac:dyDescent="0.25">
      <c r="A6" s="2">
        <v>15.05</v>
      </c>
      <c r="B6" s="1" t="s">
        <v>55</v>
      </c>
      <c r="C6" s="2">
        <v>0.12</v>
      </c>
      <c r="D6" s="1" t="s">
        <v>55</v>
      </c>
      <c r="E6" s="2">
        <v>13.75</v>
      </c>
      <c r="F6" s="1" t="s">
        <v>55</v>
      </c>
      <c r="G6" s="2">
        <v>6.18</v>
      </c>
      <c r="H6" s="1" t="s">
        <v>55</v>
      </c>
      <c r="I6" s="2">
        <v>15</v>
      </c>
      <c r="J6" s="1" t="s">
        <v>55</v>
      </c>
      <c r="K6" s="2">
        <v>3.3600000000000003</v>
      </c>
      <c r="L6" s="1" t="s">
        <v>55</v>
      </c>
      <c r="M6" s="2">
        <v>16.149999999999999</v>
      </c>
      <c r="N6" s="1" t="s">
        <v>55</v>
      </c>
      <c r="O6" s="2">
        <v>1.7999999999999998</v>
      </c>
      <c r="P6" s="1" t="s">
        <v>55</v>
      </c>
      <c r="Q6" s="2">
        <v>13.45</v>
      </c>
      <c r="R6" s="1" t="s">
        <v>55</v>
      </c>
      <c r="S6" s="2">
        <v>11.51</v>
      </c>
      <c r="T6" s="1" t="s">
        <v>56</v>
      </c>
    </row>
  </sheetData>
  <hyperlinks>
    <hyperlink ref="T1" r:id="rId1"/>
    <hyperlink ref="T2" r:id="rId2"/>
    <hyperlink ref="T3" r:id="rId3"/>
    <hyperlink ref="T4" r:id="rId4"/>
    <hyperlink ref="T5" r:id="rId5"/>
    <hyperlink ref="T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F18" sqref="F18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11.85546875" customWidth="1"/>
    <col min="10" max="10" width="2.7109375" customWidth="1"/>
    <col min="11" max="11" width="10.5703125" customWidth="1"/>
    <col min="14" max="14" width="2.85546875" customWidth="1"/>
    <col min="15" max="15" width="14.140625" customWidth="1"/>
    <col min="17" max="17" width="10.85546875" customWidth="1"/>
  </cols>
  <sheetData>
    <row r="1" spans="1:19" x14ac:dyDescent="0.25">
      <c r="A1" s="1" t="s">
        <v>18</v>
      </c>
      <c r="B1" s="1" t="s">
        <v>19</v>
      </c>
      <c r="C1" s="1" t="s">
        <v>20</v>
      </c>
      <c r="D1" s="1"/>
      <c r="E1" s="11" t="s">
        <v>25</v>
      </c>
      <c r="F1" s="12">
        <f>AVERAGE(C2:C25)</f>
        <v>0.25624999999999998</v>
      </c>
      <c r="G1" s="1" t="s">
        <v>32</v>
      </c>
      <c r="H1" s="1" t="s">
        <v>33</v>
      </c>
      <c r="I1" s="1" t="s">
        <v>19</v>
      </c>
      <c r="J1" s="10"/>
      <c r="K1" s="1" t="s">
        <v>18</v>
      </c>
      <c r="L1" s="1" t="s">
        <v>19</v>
      </c>
      <c r="M1" s="1" t="s">
        <v>20</v>
      </c>
      <c r="N1" s="1"/>
      <c r="O1" s="16" t="s">
        <v>25</v>
      </c>
      <c r="P1" s="17">
        <f>AVERAGE(M2:M24)</f>
        <v>0.25565217391304346</v>
      </c>
      <c r="Q1" s="1" t="s">
        <v>32</v>
      </c>
      <c r="R1" s="1" t="s">
        <v>33</v>
      </c>
      <c r="S1" s="1" t="s">
        <v>19</v>
      </c>
    </row>
    <row r="2" spans="1:19" x14ac:dyDescent="0.25">
      <c r="A2" s="1">
        <v>1</v>
      </c>
      <c r="B2" s="2">
        <v>34.950000000000003</v>
      </c>
      <c r="C2" s="1">
        <v>0.22</v>
      </c>
      <c r="E2" s="11" t="s">
        <v>21</v>
      </c>
      <c r="F2" s="12">
        <f>F1/2.326</f>
        <v>0.11016766981943249</v>
      </c>
      <c r="G2" t="b">
        <f>C2 &gt; $F$5</f>
        <v>0</v>
      </c>
      <c r="H2" t="b">
        <f>B2 &lt; $F$8</f>
        <v>0</v>
      </c>
      <c r="I2" t="b">
        <f t="shared" ref="I2:I25" si="0">B2 &gt; $F$10</f>
        <v>0</v>
      </c>
      <c r="J2" s="10"/>
      <c r="K2" s="1">
        <v>1</v>
      </c>
      <c r="L2" s="2">
        <v>34.950000000000003</v>
      </c>
      <c r="M2" s="1">
        <v>0.22</v>
      </c>
      <c r="O2" s="16" t="s">
        <v>21</v>
      </c>
      <c r="P2" s="17">
        <f>P1/2.326</f>
        <v>0.1099106508654529</v>
      </c>
      <c r="Q2" t="b">
        <f>M2 &gt; $P$5</f>
        <v>0</v>
      </c>
      <c r="R2" t="b">
        <f>L2 &lt; $P$8</f>
        <v>0</v>
      </c>
      <c r="S2" t="b">
        <f>L2 &gt; $P$10</f>
        <v>0</v>
      </c>
    </row>
    <row r="3" spans="1:19" x14ac:dyDescent="0.25">
      <c r="A3" s="1">
        <v>2</v>
      </c>
      <c r="B3" s="2">
        <v>35.049999999999997</v>
      </c>
      <c r="C3" s="1">
        <v>0.33</v>
      </c>
      <c r="E3" s="11" t="s">
        <v>22</v>
      </c>
      <c r="F3" s="12">
        <f>MAX((2.326-3*0.864)*F2,0)</f>
        <v>0</v>
      </c>
      <c r="G3" t="b">
        <f t="shared" ref="G3:G25" si="1">C3 &gt; $F$5</f>
        <v>0</v>
      </c>
      <c r="H3" t="b">
        <f t="shared" ref="H3:H25" si="2">B3 &lt; $F$8</f>
        <v>0</v>
      </c>
      <c r="I3" t="b">
        <f t="shared" si="0"/>
        <v>0</v>
      </c>
      <c r="J3" s="10"/>
      <c r="K3" s="1">
        <v>2</v>
      </c>
      <c r="L3" s="2">
        <v>35.049999999999997</v>
      </c>
      <c r="M3" s="1">
        <v>0.33</v>
      </c>
      <c r="O3" s="16" t="s">
        <v>22</v>
      </c>
      <c r="P3" s="17">
        <f>MAX((2.326-3*0.864)*P2,0)</f>
        <v>0</v>
      </c>
      <c r="Q3" t="b">
        <f t="shared" ref="Q3:Q24" si="3">M3 &gt; $P$5</f>
        <v>0</v>
      </c>
      <c r="R3" t="b">
        <f t="shared" ref="R3:R24" si="4">L3 &lt; $P$8</f>
        <v>0</v>
      </c>
      <c r="S3" t="b">
        <f t="shared" ref="S3:S24" si="5">L3 &gt; $P$10</f>
        <v>0</v>
      </c>
    </row>
    <row r="4" spans="1:19" x14ac:dyDescent="0.25">
      <c r="A4" s="1">
        <v>3</v>
      </c>
      <c r="B4" s="2">
        <v>35.01</v>
      </c>
      <c r="C4" s="1">
        <v>0.27</v>
      </c>
      <c r="E4" s="11" t="s">
        <v>24</v>
      </c>
      <c r="F4" s="12">
        <f>F1</f>
        <v>0.25624999999999998</v>
      </c>
      <c r="G4" t="b">
        <f t="shared" si="1"/>
        <v>0</v>
      </c>
      <c r="H4" t="b">
        <f t="shared" si="2"/>
        <v>0</v>
      </c>
      <c r="I4" t="b">
        <f t="shared" si="0"/>
        <v>0</v>
      </c>
      <c r="J4" s="10"/>
      <c r="K4" s="1">
        <v>3</v>
      </c>
      <c r="L4" s="2">
        <v>35.01</v>
      </c>
      <c r="M4" s="1">
        <v>0.27</v>
      </c>
      <c r="O4" s="16" t="s">
        <v>24</v>
      </c>
      <c r="P4" s="17">
        <f>P1</f>
        <v>0.25565217391304346</v>
      </c>
      <c r="Q4" t="b">
        <f t="shared" si="3"/>
        <v>0</v>
      </c>
      <c r="R4" t="b">
        <f t="shared" si="4"/>
        <v>0</v>
      </c>
      <c r="S4" t="b">
        <f t="shared" si="5"/>
        <v>0</v>
      </c>
    </row>
    <row r="5" spans="1:19" x14ac:dyDescent="0.25">
      <c r="A5" s="1">
        <v>4</v>
      </c>
      <c r="B5" s="2">
        <v>34.97</v>
      </c>
      <c r="C5" s="1">
        <v>0.16</v>
      </c>
      <c r="E5" s="11" t="s">
        <v>23</v>
      </c>
      <c r="F5" s="12">
        <f>(2.326+3*0.864)*F2</f>
        <v>0.54180460017196896</v>
      </c>
      <c r="G5" t="b">
        <f t="shared" si="1"/>
        <v>0</v>
      </c>
      <c r="H5" t="b">
        <f t="shared" si="2"/>
        <v>0</v>
      </c>
      <c r="I5" t="b">
        <f t="shared" si="0"/>
        <v>0</v>
      </c>
      <c r="J5" s="10"/>
      <c r="K5" s="1">
        <v>4</v>
      </c>
      <c r="L5" s="2">
        <v>34.97</v>
      </c>
      <c r="M5" s="1">
        <v>0.16</v>
      </c>
      <c r="O5" s="16" t="s">
        <v>23</v>
      </c>
      <c r="P5" s="17">
        <f>(2.326+3*0.864)*P2</f>
        <v>0.54054058095629742</v>
      </c>
      <c r="Q5" t="b">
        <f t="shared" si="3"/>
        <v>0</v>
      </c>
      <c r="R5" t="b">
        <f t="shared" si="4"/>
        <v>0</v>
      </c>
      <c r="S5" t="b">
        <f t="shared" si="5"/>
        <v>0</v>
      </c>
    </row>
    <row r="6" spans="1:19" x14ac:dyDescent="0.25">
      <c r="A6" s="1">
        <v>5</v>
      </c>
      <c r="B6" s="2">
        <v>35.020000000000003</v>
      </c>
      <c r="C6" s="1">
        <v>0.39</v>
      </c>
      <c r="G6" t="b">
        <f t="shared" si="1"/>
        <v>0</v>
      </c>
      <c r="H6" t="b">
        <f t="shared" si="2"/>
        <v>0</v>
      </c>
      <c r="I6" t="b">
        <f t="shared" si="0"/>
        <v>0</v>
      </c>
      <c r="J6" s="10"/>
      <c r="K6" s="1">
        <v>5</v>
      </c>
      <c r="L6" s="2">
        <v>35.020000000000003</v>
      </c>
      <c r="M6" s="1">
        <v>0.39</v>
      </c>
      <c r="O6" s="13"/>
      <c r="P6" s="13"/>
      <c r="Q6" t="b">
        <f t="shared" si="3"/>
        <v>0</v>
      </c>
      <c r="R6" t="b">
        <f t="shared" si="4"/>
        <v>0</v>
      </c>
      <c r="S6" t="b">
        <f t="shared" si="5"/>
        <v>0</v>
      </c>
    </row>
    <row r="7" spans="1:19" x14ac:dyDescent="0.25">
      <c r="A7" s="1">
        <v>6</v>
      </c>
      <c r="B7" s="2">
        <v>34.950000000000003</v>
      </c>
      <c r="C7" s="1">
        <v>0.19</v>
      </c>
      <c r="E7" s="6" t="s">
        <v>29</v>
      </c>
      <c r="F7" s="7">
        <f>AVERAGE(B2:B25)</f>
        <v>34.993749999999999</v>
      </c>
      <c r="G7" t="b">
        <f t="shared" si="1"/>
        <v>0</v>
      </c>
      <c r="H7" t="b">
        <f t="shared" si="2"/>
        <v>0</v>
      </c>
      <c r="I7" t="b">
        <f t="shared" si="0"/>
        <v>0</v>
      </c>
      <c r="J7" s="10"/>
      <c r="K7" s="1">
        <v>6</v>
      </c>
      <c r="L7" s="2">
        <v>34.950000000000003</v>
      </c>
      <c r="M7" s="1">
        <v>0.19</v>
      </c>
      <c r="O7" s="11" t="s">
        <v>29</v>
      </c>
      <c r="P7" s="12">
        <f>AVERAGE(L2:L24)</f>
        <v>35.001739130434778</v>
      </c>
      <c r="Q7" t="b">
        <f t="shared" si="3"/>
        <v>0</v>
      </c>
      <c r="R7" t="b">
        <f t="shared" si="4"/>
        <v>0</v>
      </c>
      <c r="S7" t="b">
        <f t="shared" si="5"/>
        <v>0</v>
      </c>
    </row>
    <row r="8" spans="1:19" x14ac:dyDescent="0.25">
      <c r="A8" s="1">
        <v>7</v>
      </c>
      <c r="B8" s="2">
        <v>34.96</v>
      </c>
      <c r="C8" s="1">
        <v>0.21</v>
      </c>
      <c r="E8" s="6" t="s">
        <v>28</v>
      </c>
      <c r="F8" s="7">
        <f>F7-3*F2/SQRT(5)</f>
        <v>34.845944560816598</v>
      </c>
      <c r="G8" t="b">
        <f t="shared" si="1"/>
        <v>0</v>
      </c>
      <c r="H8" t="b">
        <f t="shared" si="2"/>
        <v>0</v>
      </c>
      <c r="I8" t="b">
        <f t="shared" si="0"/>
        <v>0</v>
      </c>
      <c r="J8" s="10"/>
      <c r="K8" s="1">
        <v>7</v>
      </c>
      <c r="L8" s="2">
        <v>34.96</v>
      </c>
      <c r="M8" s="1">
        <v>0.21</v>
      </c>
      <c r="O8" s="11" t="s">
        <v>28</v>
      </c>
      <c r="P8" s="12">
        <f>P7-3*F2/SQRT(5)</f>
        <v>34.853933691251378</v>
      </c>
      <c r="Q8" t="b">
        <f t="shared" si="3"/>
        <v>0</v>
      </c>
      <c r="R8" t="b">
        <f t="shared" si="4"/>
        <v>0</v>
      </c>
      <c r="S8" t="b">
        <f t="shared" si="5"/>
        <v>0</v>
      </c>
    </row>
    <row r="9" spans="1:19" x14ac:dyDescent="0.25">
      <c r="A9" s="1">
        <v>8</v>
      </c>
      <c r="B9" s="2">
        <v>34.97</v>
      </c>
      <c r="C9" s="1">
        <v>0.27</v>
      </c>
      <c r="E9" s="6" t="s">
        <v>27</v>
      </c>
      <c r="F9" s="7">
        <f>F7</f>
        <v>34.993749999999999</v>
      </c>
      <c r="G9" t="b">
        <f t="shared" si="1"/>
        <v>0</v>
      </c>
      <c r="H9" t="b">
        <f t="shared" si="2"/>
        <v>0</v>
      </c>
      <c r="I9" t="b">
        <f t="shared" si="0"/>
        <v>0</v>
      </c>
      <c r="J9" s="10"/>
      <c r="K9" s="1">
        <v>8</v>
      </c>
      <c r="L9" s="2">
        <v>34.97</v>
      </c>
      <c r="M9" s="1">
        <v>0.27</v>
      </c>
      <c r="O9" s="11" t="s">
        <v>27</v>
      </c>
      <c r="P9" s="12">
        <f>P7</f>
        <v>35.001739130434778</v>
      </c>
      <c r="Q9" t="b">
        <f t="shared" si="3"/>
        <v>0</v>
      </c>
      <c r="R9" t="b">
        <f t="shared" si="4"/>
        <v>0</v>
      </c>
      <c r="S9" t="b">
        <f t="shared" si="5"/>
        <v>0</v>
      </c>
    </row>
    <row r="10" spans="1:19" x14ac:dyDescent="0.25">
      <c r="A10" s="1">
        <v>9</v>
      </c>
      <c r="B10" s="2">
        <v>35.08</v>
      </c>
      <c r="C10" s="1">
        <v>0.37</v>
      </c>
      <c r="E10" s="6" t="s">
        <v>26</v>
      </c>
      <c r="F10" s="7">
        <f>F7+3*F2/SQRT(5)</f>
        <v>35.141555439183399</v>
      </c>
      <c r="G10" t="b">
        <f t="shared" si="1"/>
        <v>0</v>
      </c>
      <c r="H10" t="b">
        <f t="shared" si="2"/>
        <v>0</v>
      </c>
      <c r="I10" t="b">
        <f t="shared" si="0"/>
        <v>0</v>
      </c>
      <c r="J10" s="10"/>
      <c r="K10" s="1">
        <v>9</v>
      </c>
      <c r="L10" s="2">
        <v>35.08</v>
      </c>
      <c r="M10" s="1">
        <v>0.37</v>
      </c>
      <c r="O10" s="11" t="s">
        <v>26</v>
      </c>
      <c r="P10" s="12">
        <f>P7+3*F2/SQRT(5)</f>
        <v>35.149544569618179</v>
      </c>
      <c r="Q10" t="b">
        <f t="shared" si="3"/>
        <v>0</v>
      </c>
      <c r="R10" t="b">
        <f t="shared" si="4"/>
        <v>0</v>
      </c>
      <c r="S10" t="b">
        <f t="shared" si="5"/>
        <v>0</v>
      </c>
    </row>
    <row r="11" spans="1:19" x14ac:dyDescent="0.25">
      <c r="A11" s="1">
        <v>10</v>
      </c>
      <c r="B11" s="2">
        <v>35.020000000000003</v>
      </c>
      <c r="C11" s="1">
        <v>0.09</v>
      </c>
      <c r="G11" t="b">
        <f t="shared" si="1"/>
        <v>0</v>
      </c>
      <c r="H11" t="b">
        <f t="shared" si="2"/>
        <v>0</v>
      </c>
      <c r="I11" t="b">
        <f t="shared" si="0"/>
        <v>0</v>
      </c>
      <c r="J11" s="10"/>
      <c r="K11" s="1">
        <v>10</v>
      </c>
      <c r="L11" s="2">
        <v>35.020000000000003</v>
      </c>
      <c r="M11" s="1">
        <v>0.09</v>
      </c>
      <c r="Q11" t="b">
        <f t="shared" si="3"/>
        <v>0</v>
      </c>
      <c r="R11" t="b">
        <f t="shared" si="4"/>
        <v>0</v>
      </c>
      <c r="S11" t="b">
        <f t="shared" si="5"/>
        <v>0</v>
      </c>
    </row>
    <row r="12" spans="1:19" x14ac:dyDescent="0.25">
      <c r="A12" s="1">
        <v>11</v>
      </c>
      <c r="B12" s="2">
        <v>34.979999999999997</v>
      </c>
      <c r="C12" s="1">
        <v>0.33</v>
      </c>
      <c r="G12" t="b">
        <f t="shared" si="1"/>
        <v>0</v>
      </c>
      <c r="H12" t="b">
        <f t="shared" si="2"/>
        <v>0</v>
      </c>
      <c r="I12" t="b">
        <f t="shared" si="0"/>
        <v>0</v>
      </c>
      <c r="J12" s="10"/>
      <c r="K12" s="1">
        <v>11</v>
      </c>
      <c r="L12" s="2">
        <v>34.979999999999997</v>
      </c>
      <c r="M12" s="1">
        <v>0.33</v>
      </c>
      <c r="Q12" t="b">
        <f t="shared" si="3"/>
        <v>0</v>
      </c>
      <c r="R12" t="b">
        <f t="shared" si="4"/>
        <v>0</v>
      </c>
      <c r="S12" t="b">
        <f t="shared" si="5"/>
        <v>0</v>
      </c>
    </row>
    <row r="13" spans="1:19" x14ac:dyDescent="0.25">
      <c r="A13" s="1">
        <v>12</v>
      </c>
      <c r="B13" s="2">
        <v>34.979999999999997</v>
      </c>
      <c r="C13" s="1">
        <v>0.23</v>
      </c>
      <c r="G13" t="b">
        <f t="shared" si="1"/>
        <v>0</v>
      </c>
      <c r="H13" t="b">
        <f t="shared" si="2"/>
        <v>0</v>
      </c>
      <c r="I13" t="b">
        <f t="shared" si="0"/>
        <v>0</v>
      </c>
      <c r="J13" s="10"/>
      <c r="K13" s="1">
        <v>12</v>
      </c>
      <c r="L13" s="2">
        <v>34.979999999999997</v>
      </c>
      <c r="M13" s="1">
        <v>0.23</v>
      </c>
      <c r="O13" s="11" t="s">
        <v>30</v>
      </c>
      <c r="P13" s="12">
        <v>2.7000000000000001E-3</v>
      </c>
      <c r="Q13" t="b">
        <f t="shared" si="3"/>
        <v>0</v>
      </c>
      <c r="R13" t="b">
        <f t="shared" si="4"/>
        <v>0</v>
      </c>
      <c r="S13" t="b">
        <f t="shared" si="5"/>
        <v>0</v>
      </c>
    </row>
    <row r="14" spans="1:19" x14ac:dyDescent="0.25">
      <c r="A14" s="1">
        <v>13</v>
      </c>
      <c r="B14" s="2">
        <v>35.03</v>
      </c>
      <c r="C14" s="1">
        <v>0.15</v>
      </c>
      <c r="G14" t="b">
        <f t="shared" si="1"/>
        <v>0</v>
      </c>
      <c r="H14" t="b">
        <f t="shared" si="2"/>
        <v>0</v>
      </c>
      <c r="I14" t="b">
        <f t="shared" si="0"/>
        <v>0</v>
      </c>
      <c r="J14" s="10"/>
      <c r="K14" s="1">
        <v>13</v>
      </c>
      <c r="L14" s="2">
        <v>35.03</v>
      </c>
      <c r="M14" s="1">
        <v>0.15</v>
      </c>
      <c r="O14" s="11" t="s">
        <v>31</v>
      </c>
      <c r="P14" s="14">
        <f>1/P13</f>
        <v>370.37037037037032</v>
      </c>
      <c r="Q14" t="b">
        <f t="shared" si="3"/>
        <v>0</v>
      </c>
      <c r="R14" t="b">
        <f t="shared" si="4"/>
        <v>0</v>
      </c>
      <c r="S14" t="b">
        <f t="shared" si="5"/>
        <v>0</v>
      </c>
    </row>
    <row r="15" spans="1:19" x14ac:dyDescent="0.25">
      <c r="A15" s="1">
        <v>14</v>
      </c>
      <c r="B15" s="2">
        <v>35.049999999999997</v>
      </c>
      <c r="C15" s="1">
        <v>0.28999999999999998</v>
      </c>
      <c r="G15" t="b">
        <f t="shared" si="1"/>
        <v>0</v>
      </c>
      <c r="H15" t="b">
        <f t="shared" si="2"/>
        <v>0</v>
      </c>
      <c r="I15" t="b">
        <f t="shared" si="0"/>
        <v>0</v>
      </c>
      <c r="J15" s="10"/>
      <c r="K15" s="1">
        <v>14</v>
      </c>
      <c r="L15" s="2">
        <v>35.049999999999997</v>
      </c>
      <c r="M15" s="1">
        <v>0.28999999999999998</v>
      </c>
      <c r="Q15" t="b">
        <f t="shared" si="3"/>
        <v>0</v>
      </c>
      <c r="R15" t="b">
        <f t="shared" si="4"/>
        <v>0</v>
      </c>
      <c r="S15" t="b">
        <f t="shared" si="5"/>
        <v>0</v>
      </c>
    </row>
    <row r="16" spans="1:19" x14ac:dyDescent="0.25">
      <c r="A16" s="1">
        <v>15</v>
      </c>
      <c r="B16" s="2">
        <v>35</v>
      </c>
      <c r="C16" s="1">
        <v>0.31</v>
      </c>
      <c r="G16" t="b">
        <f t="shared" si="1"/>
        <v>0</v>
      </c>
      <c r="H16" t="b">
        <f t="shared" si="2"/>
        <v>0</v>
      </c>
      <c r="I16" t="b">
        <f t="shared" si="0"/>
        <v>0</v>
      </c>
      <c r="J16" s="10"/>
      <c r="K16" s="1">
        <v>15</v>
      </c>
      <c r="L16" s="2">
        <v>35</v>
      </c>
      <c r="M16" s="1">
        <v>0.31</v>
      </c>
      <c r="Q16" t="b">
        <f t="shared" si="3"/>
        <v>0</v>
      </c>
      <c r="R16" t="b">
        <f t="shared" si="4"/>
        <v>0</v>
      </c>
      <c r="S16" t="b">
        <f t="shared" si="5"/>
        <v>0</v>
      </c>
    </row>
    <row r="17" spans="1:19" x14ac:dyDescent="0.25">
      <c r="A17" s="1">
        <v>16</v>
      </c>
      <c r="B17" s="2">
        <v>34.92</v>
      </c>
      <c r="C17" s="1">
        <v>0.18</v>
      </c>
      <c r="G17" t="b">
        <f t="shared" si="1"/>
        <v>0</v>
      </c>
      <c r="H17" t="b">
        <f t="shared" si="2"/>
        <v>0</v>
      </c>
      <c r="I17" t="b">
        <f t="shared" si="0"/>
        <v>0</v>
      </c>
      <c r="J17" s="10"/>
      <c r="K17" s="1">
        <v>16</v>
      </c>
      <c r="L17" s="2">
        <v>34.92</v>
      </c>
      <c r="M17" s="1">
        <v>0.18</v>
      </c>
      <c r="Q17" t="b">
        <f t="shared" si="3"/>
        <v>0</v>
      </c>
      <c r="R17" t="b">
        <f t="shared" si="4"/>
        <v>0</v>
      </c>
      <c r="S17" t="b">
        <f t="shared" si="5"/>
        <v>0</v>
      </c>
    </row>
    <row r="18" spans="1:19" x14ac:dyDescent="0.25">
      <c r="A18" s="1">
        <v>17</v>
      </c>
      <c r="B18" s="2">
        <v>35</v>
      </c>
      <c r="C18" s="1">
        <v>0.28000000000000003</v>
      </c>
      <c r="G18" t="b">
        <f t="shared" si="1"/>
        <v>0</v>
      </c>
      <c r="H18" t="b">
        <f t="shared" si="2"/>
        <v>0</v>
      </c>
      <c r="I18" t="b">
        <f t="shared" si="0"/>
        <v>0</v>
      </c>
      <c r="J18" s="10"/>
      <c r="K18" s="1">
        <v>17</v>
      </c>
      <c r="L18" s="2">
        <v>35</v>
      </c>
      <c r="M18" s="1">
        <v>0.28000000000000003</v>
      </c>
      <c r="Q18" t="b">
        <f t="shared" si="3"/>
        <v>0</v>
      </c>
      <c r="R18" t="b">
        <f t="shared" si="4"/>
        <v>0</v>
      </c>
      <c r="S18" t="b">
        <f t="shared" si="5"/>
        <v>0</v>
      </c>
    </row>
    <row r="19" spans="1:19" x14ac:dyDescent="0.25">
      <c r="A19" s="1">
        <v>18</v>
      </c>
      <c r="B19" s="2">
        <v>35.04</v>
      </c>
      <c r="C19" s="1">
        <v>0.28999999999999998</v>
      </c>
      <c r="G19" t="b">
        <f t="shared" si="1"/>
        <v>0</v>
      </c>
      <c r="H19" t="b">
        <f t="shared" si="2"/>
        <v>0</v>
      </c>
      <c r="I19" t="b">
        <f t="shared" si="0"/>
        <v>0</v>
      </c>
      <c r="J19" s="10"/>
      <c r="K19" s="1">
        <v>18</v>
      </c>
      <c r="L19" s="2">
        <v>35.04</v>
      </c>
      <c r="M19" s="1">
        <v>0.28999999999999998</v>
      </c>
      <c r="Q19" t="b">
        <f t="shared" si="3"/>
        <v>0</v>
      </c>
      <c r="R19" t="b">
        <f t="shared" si="4"/>
        <v>0</v>
      </c>
      <c r="S19" t="b">
        <f t="shared" si="5"/>
        <v>0</v>
      </c>
    </row>
    <row r="20" spans="1:19" x14ac:dyDescent="0.25">
      <c r="A20" s="1">
        <v>19</v>
      </c>
      <c r="B20" s="2">
        <v>35</v>
      </c>
      <c r="C20" s="1">
        <v>0.27</v>
      </c>
      <c r="G20" t="b">
        <f t="shared" si="1"/>
        <v>0</v>
      </c>
      <c r="H20" t="b">
        <f t="shared" si="2"/>
        <v>0</v>
      </c>
      <c r="I20" t="b">
        <f t="shared" si="0"/>
        <v>0</v>
      </c>
      <c r="J20" s="10"/>
      <c r="K20" s="1">
        <v>19</v>
      </c>
      <c r="L20" s="2">
        <v>35</v>
      </c>
      <c r="M20" s="1">
        <v>0.27</v>
      </c>
      <c r="Q20" t="b">
        <f t="shared" si="3"/>
        <v>0</v>
      </c>
      <c r="R20" t="b">
        <f t="shared" si="4"/>
        <v>0</v>
      </c>
      <c r="S20" t="b">
        <f t="shared" si="5"/>
        <v>0</v>
      </c>
    </row>
    <row r="21" spans="1:19" x14ac:dyDescent="0.25">
      <c r="A21" s="1">
        <v>20</v>
      </c>
      <c r="B21" s="7">
        <v>34.81</v>
      </c>
      <c r="C21" s="1">
        <v>0.27</v>
      </c>
      <c r="G21" t="b">
        <f t="shared" si="1"/>
        <v>0</v>
      </c>
      <c r="H21" s="8" t="b">
        <f t="shared" si="2"/>
        <v>1</v>
      </c>
      <c r="I21" s="8" t="b">
        <f t="shared" si="0"/>
        <v>0</v>
      </c>
      <c r="J21" s="10"/>
      <c r="K21" s="1">
        <v>21</v>
      </c>
      <c r="L21" s="2">
        <v>34.96</v>
      </c>
      <c r="M21" s="1">
        <v>0.28999999999999998</v>
      </c>
      <c r="Q21" t="b">
        <f t="shared" si="3"/>
        <v>0</v>
      </c>
      <c r="R21" t="b">
        <f t="shared" si="4"/>
        <v>0</v>
      </c>
      <c r="S21" t="b">
        <f t="shared" si="5"/>
        <v>0</v>
      </c>
    </row>
    <row r="22" spans="1:19" x14ac:dyDescent="0.25">
      <c r="A22" s="1">
        <v>21</v>
      </c>
      <c r="B22" s="2">
        <v>34.96</v>
      </c>
      <c r="C22" s="1">
        <v>0.28999999999999998</v>
      </c>
      <c r="G22" t="b">
        <f t="shared" si="1"/>
        <v>0</v>
      </c>
      <c r="H22" t="b">
        <f t="shared" si="2"/>
        <v>0</v>
      </c>
      <c r="I22" t="b">
        <f t="shared" si="0"/>
        <v>0</v>
      </c>
      <c r="J22" s="10"/>
      <c r="K22" s="1">
        <v>22</v>
      </c>
      <c r="L22" s="2">
        <v>35.049999999999997</v>
      </c>
      <c r="M22" s="1">
        <v>0.18</v>
      </c>
      <c r="Q22" t="b">
        <f t="shared" si="3"/>
        <v>0</v>
      </c>
      <c r="R22" t="b">
        <f t="shared" si="4"/>
        <v>0</v>
      </c>
      <c r="S22" t="b">
        <f t="shared" si="5"/>
        <v>0</v>
      </c>
    </row>
    <row r="23" spans="1:19" x14ac:dyDescent="0.25">
      <c r="A23" s="1">
        <v>22</v>
      </c>
      <c r="B23" s="2">
        <v>35.049999999999997</v>
      </c>
      <c r="C23" s="1">
        <v>0.18</v>
      </c>
      <c r="G23" t="b">
        <f t="shared" si="1"/>
        <v>0</v>
      </c>
      <c r="H23" t="b">
        <f t="shared" si="2"/>
        <v>0</v>
      </c>
      <c r="I23" t="b">
        <f t="shared" si="0"/>
        <v>0</v>
      </c>
      <c r="J23" s="10"/>
      <c r="K23" s="1">
        <v>23</v>
      </c>
      <c r="L23" s="2">
        <v>35.020000000000003</v>
      </c>
      <c r="M23" s="1">
        <v>0.28999999999999998</v>
      </c>
      <c r="Q23" t="b">
        <f t="shared" si="3"/>
        <v>0</v>
      </c>
      <c r="R23" t="b">
        <f t="shared" si="4"/>
        <v>0</v>
      </c>
      <c r="S23" t="b">
        <f t="shared" si="5"/>
        <v>0</v>
      </c>
    </row>
    <row r="24" spans="1:19" x14ac:dyDescent="0.25">
      <c r="A24" s="1">
        <v>23</v>
      </c>
      <c r="B24" s="2">
        <v>35.020000000000003</v>
      </c>
      <c r="C24" s="1">
        <v>0.28999999999999998</v>
      </c>
      <c r="G24" t="b">
        <f t="shared" si="1"/>
        <v>0</v>
      </c>
      <c r="H24" t="b">
        <f t="shared" si="2"/>
        <v>0</v>
      </c>
      <c r="I24" t="b">
        <f t="shared" si="0"/>
        <v>0</v>
      </c>
      <c r="J24" s="10"/>
      <c r="K24" s="1">
        <v>24</v>
      </c>
      <c r="L24" s="2">
        <v>35.03</v>
      </c>
      <c r="M24" s="1">
        <v>0.28999999999999998</v>
      </c>
      <c r="Q24" t="b">
        <f t="shared" si="3"/>
        <v>0</v>
      </c>
      <c r="R24" t="b">
        <f t="shared" si="4"/>
        <v>0</v>
      </c>
      <c r="S24" t="b">
        <f t="shared" si="5"/>
        <v>0</v>
      </c>
    </row>
    <row r="25" spans="1:19" x14ac:dyDescent="0.25">
      <c r="A25" s="1">
        <v>24</v>
      </c>
      <c r="B25" s="2">
        <v>35.03</v>
      </c>
      <c r="C25" s="1">
        <v>0.28999999999999998</v>
      </c>
      <c r="G25" t="b">
        <f t="shared" si="1"/>
        <v>0</v>
      </c>
      <c r="H25" t="b">
        <f t="shared" si="2"/>
        <v>0</v>
      </c>
      <c r="I25" t="b">
        <f t="shared" si="0"/>
        <v>0</v>
      </c>
      <c r="J25" s="10"/>
    </row>
    <row r="26" spans="1:19" x14ac:dyDescent="0.25">
      <c r="J26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A9" sqref="A9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2.42578125" customWidth="1"/>
    <col min="8" max="8" width="10.42578125" customWidth="1"/>
    <col min="9" max="9" width="2.7109375" customWidth="1"/>
    <col min="10" max="10" width="10.5703125" customWidth="1"/>
    <col min="13" max="13" width="2.85546875" customWidth="1"/>
    <col min="14" max="14" width="14.140625" customWidth="1"/>
    <col min="16" max="16" width="11.5703125" customWidth="1"/>
    <col min="19" max="19" width="3.5703125" customWidth="1"/>
    <col min="20" max="20" width="11.5703125" customWidth="1"/>
    <col min="23" max="23" width="4.28515625" customWidth="1"/>
    <col min="24" max="24" width="13.140625" customWidth="1"/>
  </cols>
  <sheetData>
    <row r="1" spans="1:28" x14ac:dyDescent="0.25">
      <c r="A1" s="1" t="s">
        <v>18</v>
      </c>
      <c r="B1" s="1" t="s">
        <v>19</v>
      </c>
      <c r="C1" s="1" t="s">
        <v>20</v>
      </c>
      <c r="D1" s="1"/>
      <c r="E1" s="6" t="s">
        <v>25</v>
      </c>
      <c r="F1" s="7">
        <f>AVERAGE(C2:C26)</f>
        <v>5</v>
      </c>
      <c r="H1" t="s">
        <v>32</v>
      </c>
      <c r="I1" s="10"/>
      <c r="J1" s="1" t="s">
        <v>18</v>
      </c>
      <c r="K1" s="1" t="s">
        <v>19</v>
      </c>
      <c r="L1" s="1" t="s">
        <v>20</v>
      </c>
      <c r="M1" s="1"/>
      <c r="N1" s="11" t="s">
        <v>25</v>
      </c>
      <c r="O1" s="12">
        <f>AVERAGE(L2:L25)</f>
        <v>4.708333333333333</v>
      </c>
      <c r="P1" t="s">
        <v>32</v>
      </c>
      <c r="Q1" t="s">
        <v>19</v>
      </c>
      <c r="R1" t="s">
        <v>34</v>
      </c>
      <c r="S1" s="10"/>
      <c r="T1" s="1" t="s">
        <v>18</v>
      </c>
      <c r="U1" s="1" t="s">
        <v>19</v>
      </c>
      <c r="V1" s="1" t="s">
        <v>20</v>
      </c>
      <c r="W1" s="1"/>
      <c r="X1" s="16" t="s">
        <v>25</v>
      </c>
      <c r="Y1" s="17">
        <f>AVERAGE(V2:V24)</f>
        <v>4.5217391304347823</v>
      </c>
      <c r="Z1" t="s">
        <v>32</v>
      </c>
      <c r="AA1" t="s">
        <v>19</v>
      </c>
      <c r="AB1" t="s">
        <v>34</v>
      </c>
    </row>
    <row r="2" spans="1:28" x14ac:dyDescent="0.25">
      <c r="A2" s="1">
        <v>1</v>
      </c>
      <c r="B2" s="2">
        <v>134.5</v>
      </c>
      <c r="C2" s="1">
        <v>3</v>
      </c>
      <c r="E2" s="6" t="s">
        <v>21</v>
      </c>
      <c r="F2" s="7">
        <f>F1/2.326</f>
        <v>2.1496130696474633</v>
      </c>
      <c r="H2" t="b">
        <f>C2 &gt; $F$5</f>
        <v>0</v>
      </c>
      <c r="I2" s="10"/>
      <c r="J2" s="1">
        <v>1</v>
      </c>
      <c r="K2" s="2">
        <v>134.5</v>
      </c>
      <c r="L2" s="1">
        <v>3</v>
      </c>
      <c r="N2" s="11" t="s">
        <v>21</v>
      </c>
      <c r="O2" s="12">
        <f>O1/2.326</f>
        <v>2.0242189739180279</v>
      </c>
      <c r="P2" t="b">
        <f>L2 &gt; $O$5</f>
        <v>0</v>
      </c>
      <c r="Q2" t="b">
        <f>K2 &lt; $O$8</f>
        <v>0</v>
      </c>
      <c r="R2" t="b">
        <f>K2 &gt; $O$10</f>
        <v>0</v>
      </c>
      <c r="S2" s="10"/>
      <c r="T2" s="1">
        <v>1</v>
      </c>
      <c r="U2" s="2">
        <v>134.5</v>
      </c>
      <c r="V2" s="1">
        <v>3</v>
      </c>
      <c r="X2" s="16" t="s">
        <v>21</v>
      </c>
      <c r="Y2" s="17">
        <f>Y1/2.326</f>
        <v>1.9439979064637929</v>
      </c>
      <c r="Z2" t="b">
        <f>V2 &gt; $Y$5</f>
        <v>0</v>
      </c>
      <c r="AA2" t="b">
        <f>U2 &lt; $Y$8</f>
        <v>0</v>
      </c>
      <c r="AB2" t="b">
        <f>U2 &gt; $Y$10</f>
        <v>0</v>
      </c>
    </row>
    <row r="3" spans="1:28" x14ac:dyDescent="0.25">
      <c r="A3" s="1">
        <v>2</v>
      </c>
      <c r="B3" s="2">
        <v>134.19999999999999</v>
      </c>
      <c r="C3" s="1">
        <v>4</v>
      </c>
      <c r="E3" s="6" t="s">
        <v>22</v>
      </c>
      <c r="F3" s="7">
        <f>MAX((2.326-3*0.864)*F2,0)</f>
        <v>0</v>
      </c>
      <c r="H3" t="b">
        <f t="shared" ref="H3:H26" si="0">C3 &gt; $F$5</f>
        <v>0</v>
      </c>
      <c r="I3" s="10"/>
      <c r="J3" s="1">
        <v>2</v>
      </c>
      <c r="K3" s="2">
        <v>134.19999999999999</v>
      </c>
      <c r="L3" s="1">
        <v>4</v>
      </c>
      <c r="N3" s="11" t="s">
        <v>22</v>
      </c>
      <c r="O3" s="12">
        <f>MAX((2.326-3*0.864)*O2,0)</f>
        <v>0</v>
      </c>
      <c r="P3" t="b">
        <f t="shared" ref="P3:P25" si="1">L3 &gt; $O$5</f>
        <v>0</v>
      </c>
      <c r="Q3" t="b">
        <f t="shared" ref="Q3:Q25" si="2">K3 &lt; $O$8</f>
        <v>0</v>
      </c>
      <c r="R3" t="b">
        <f t="shared" ref="R3:R25" si="3">K3 &gt; $O$10</f>
        <v>0</v>
      </c>
      <c r="S3" s="10"/>
      <c r="T3" s="1">
        <v>2</v>
      </c>
      <c r="U3" s="2">
        <v>134.19999999999999</v>
      </c>
      <c r="V3" s="1">
        <v>4</v>
      </c>
      <c r="X3" s="16" t="s">
        <v>22</v>
      </c>
      <c r="Y3" s="17">
        <f>MAX((2.326-3*0.864)*Y2,0)</f>
        <v>0</v>
      </c>
      <c r="Z3" t="b">
        <f t="shared" ref="Z3:Z24" si="4">V3 &gt; $Y$5</f>
        <v>0</v>
      </c>
      <c r="AA3" t="b">
        <f t="shared" ref="AA3:AA24" si="5">U3 &lt; $Y$8</f>
        <v>0</v>
      </c>
      <c r="AB3" t="b">
        <f t="shared" ref="AB3:AB24" si="6">U3 &gt; $Y$10</f>
        <v>0</v>
      </c>
    </row>
    <row r="4" spans="1:28" x14ac:dyDescent="0.25">
      <c r="A4" s="1">
        <v>3</v>
      </c>
      <c r="B4" s="2">
        <v>131.6</v>
      </c>
      <c r="C4" s="1">
        <v>4</v>
      </c>
      <c r="E4" s="6" t="s">
        <v>24</v>
      </c>
      <c r="F4" s="7">
        <f>F1</f>
        <v>5</v>
      </c>
      <c r="H4" t="b">
        <f t="shared" si="0"/>
        <v>0</v>
      </c>
      <c r="I4" s="10"/>
      <c r="J4" s="1">
        <v>3</v>
      </c>
      <c r="K4" s="2">
        <v>131.6</v>
      </c>
      <c r="L4" s="1">
        <v>4</v>
      </c>
      <c r="N4" s="11" t="s">
        <v>24</v>
      </c>
      <c r="O4" s="12">
        <f>O1</f>
        <v>4.708333333333333</v>
      </c>
      <c r="P4" t="b">
        <f t="shared" si="1"/>
        <v>0</v>
      </c>
      <c r="Q4" t="b">
        <f t="shared" si="2"/>
        <v>0</v>
      </c>
      <c r="R4" t="b">
        <f t="shared" si="3"/>
        <v>0</v>
      </c>
      <c r="S4" s="10"/>
      <c r="T4" s="1">
        <v>3</v>
      </c>
      <c r="U4" s="2">
        <v>131.6</v>
      </c>
      <c r="V4" s="1">
        <v>4</v>
      </c>
      <c r="X4" s="16" t="s">
        <v>24</v>
      </c>
      <c r="Y4" s="17">
        <f>Y1</f>
        <v>4.5217391304347823</v>
      </c>
      <c r="Z4" t="b">
        <f t="shared" si="4"/>
        <v>0</v>
      </c>
      <c r="AA4" t="b">
        <f t="shared" si="5"/>
        <v>0</v>
      </c>
      <c r="AB4" t="b">
        <f t="shared" si="6"/>
        <v>0</v>
      </c>
    </row>
    <row r="5" spans="1:28" x14ac:dyDescent="0.25">
      <c r="A5" s="1">
        <v>4</v>
      </c>
      <c r="B5" s="2">
        <v>131.5</v>
      </c>
      <c r="C5" s="1">
        <v>4</v>
      </c>
      <c r="E5" s="6" t="s">
        <v>23</v>
      </c>
      <c r="F5" s="7">
        <f>(2.326+3*0.864)*F2</f>
        <v>10.571797076526225</v>
      </c>
      <c r="H5" t="b">
        <f t="shared" si="0"/>
        <v>0</v>
      </c>
      <c r="I5" s="10"/>
      <c r="J5" s="1">
        <v>4</v>
      </c>
      <c r="K5" s="2">
        <v>131.5</v>
      </c>
      <c r="L5" s="1">
        <v>4</v>
      </c>
      <c r="N5" s="11" t="s">
        <v>23</v>
      </c>
      <c r="O5" s="12">
        <f>(2.326+3*0.864)*O2</f>
        <v>9.9551089137288606</v>
      </c>
      <c r="P5" t="b">
        <f t="shared" si="1"/>
        <v>0</v>
      </c>
      <c r="Q5" t="b">
        <f t="shared" si="2"/>
        <v>0</v>
      </c>
      <c r="R5" t="b">
        <f t="shared" si="3"/>
        <v>0</v>
      </c>
      <c r="S5" s="10"/>
      <c r="T5" s="1">
        <v>4</v>
      </c>
      <c r="U5" s="2">
        <v>131.5</v>
      </c>
      <c r="V5" s="1">
        <v>4</v>
      </c>
      <c r="X5" s="16" t="s">
        <v>23</v>
      </c>
      <c r="Y5" s="17">
        <f>(2.326+3*0.864)*Y2</f>
        <v>9.5605817039889338</v>
      </c>
      <c r="Z5" t="b">
        <f t="shared" si="4"/>
        <v>0</v>
      </c>
      <c r="AA5" t="b">
        <f t="shared" si="5"/>
        <v>0</v>
      </c>
      <c r="AB5" t="b">
        <f t="shared" si="6"/>
        <v>0</v>
      </c>
    </row>
    <row r="6" spans="1:28" x14ac:dyDescent="0.25">
      <c r="A6" s="1">
        <v>5</v>
      </c>
      <c r="B6" s="2">
        <v>135</v>
      </c>
      <c r="C6" s="1">
        <v>5</v>
      </c>
      <c r="H6" t="b">
        <f t="shared" si="0"/>
        <v>0</v>
      </c>
      <c r="I6" s="10"/>
      <c r="J6" s="1">
        <v>5</v>
      </c>
      <c r="K6" s="2">
        <v>135</v>
      </c>
      <c r="L6" s="1">
        <v>5</v>
      </c>
      <c r="N6" s="13"/>
      <c r="O6" s="13"/>
      <c r="P6" t="b">
        <f t="shared" si="1"/>
        <v>0</v>
      </c>
      <c r="Q6" t="b">
        <f t="shared" si="2"/>
        <v>0</v>
      </c>
      <c r="R6" t="b">
        <f t="shared" si="3"/>
        <v>0</v>
      </c>
      <c r="S6" s="10"/>
      <c r="T6" s="1">
        <v>5</v>
      </c>
      <c r="U6" s="2">
        <v>135</v>
      </c>
      <c r="V6" s="1">
        <v>5</v>
      </c>
      <c r="X6" s="13"/>
      <c r="Y6" s="13"/>
      <c r="Z6" t="b">
        <f t="shared" si="4"/>
        <v>0</v>
      </c>
      <c r="AA6" t="b">
        <f t="shared" si="5"/>
        <v>0</v>
      </c>
      <c r="AB6" t="b">
        <f t="shared" si="6"/>
        <v>0</v>
      </c>
    </row>
    <row r="7" spans="1:28" x14ac:dyDescent="0.25">
      <c r="A7" s="1">
        <v>6</v>
      </c>
      <c r="B7" s="2">
        <v>134.1</v>
      </c>
      <c r="C7" s="1">
        <v>6</v>
      </c>
      <c r="E7" s="6"/>
      <c r="F7" s="7"/>
      <c r="H7" t="b">
        <f t="shared" si="0"/>
        <v>0</v>
      </c>
      <c r="I7" s="10"/>
      <c r="J7" s="1">
        <v>6</v>
      </c>
      <c r="K7" s="2">
        <v>134.1</v>
      </c>
      <c r="L7" s="1">
        <v>6</v>
      </c>
      <c r="N7" s="6" t="s">
        <v>29</v>
      </c>
      <c r="O7" s="7">
        <f>AVERAGE(K2:K25)</f>
        <v>134.01666666666665</v>
      </c>
      <c r="P7" t="b">
        <f t="shared" si="1"/>
        <v>0</v>
      </c>
      <c r="Q7" t="b">
        <f t="shared" si="2"/>
        <v>0</v>
      </c>
      <c r="R7" t="b">
        <f t="shared" si="3"/>
        <v>0</v>
      </c>
      <c r="S7" s="10"/>
      <c r="T7" s="1">
        <v>6</v>
      </c>
      <c r="U7" s="2">
        <v>134.1</v>
      </c>
      <c r="V7" s="1">
        <v>6</v>
      </c>
      <c r="X7" s="11" t="s">
        <v>29</v>
      </c>
      <c r="Y7" s="12">
        <f>AVERAGE(U2:U24)</f>
        <v>133.71304347826086</v>
      </c>
      <c r="Z7" t="b">
        <f t="shared" si="4"/>
        <v>0</v>
      </c>
      <c r="AA7" t="b">
        <f t="shared" si="5"/>
        <v>0</v>
      </c>
      <c r="AB7" t="b">
        <f t="shared" si="6"/>
        <v>0</v>
      </c>
    </row>
    <row r="8" spans="1:28" x14ac:dyDescent="0.25">
      <c r="A8" s="1">
        <v>7</v>
      </c>
      <c r="B8" s="2">
        <v>132.6</v>
      </c>
      <c r="C8" s="1">
        <v>4</v>
      </c>
      <c r="E8" s="6"/>
      <c r="F8" s="9"/>
      <c r="H8" t="b">
        <f t="shared" si="0"/>
        <v>0</v>
      </c>
      <c r="I8" s="10"/>
      <c r="J8" s="1">
        <v>7</v>
      </c>
      <c r="K8" s="2">
        <v>132.6</v>
      </c>
      <c r="L8" s="1">
        <v>4</v>
      </c>
      <c r="N8" s="6" t="s">
        <v>28</v>
      </c>
      <c r="O8" s="7">
        <f>O7-3*O2/SQRT(5)</f>
        <v>131.30089193045131</v>
      </c>
      <c r="P8" t="b">
        <f t="shared" si="1"/>
        <v>0</v>
      </c>
      <c r="Q8" t="b">
        <f t="shared" si="2"/>
        <v>0</v>
      </c>
      <c r="R8" t="b">
        <f t="shared" si="3"/>
        <v>0</v>
      </c>
      <c r="S8" s="10"/>
      <c r="T8" s="1">
        <v>7</v>
      </c>
      <c r="U8" s="2">
        <v>132.6</v>
      </c>
      <c r="V8" s="1">
        <v>4</v>
      </c>
      <c r="X8" s="11" t="s">
        <v>28</v>
      </c>
      <c r="Y8" s="12">
        <f>Y7-3*O2/SQRT(5)</f>
        <v>130.99726874204552</v>
      </c>
      <c r="Z8" t="b">
        <f t="shared" si="4"/>
        <v>0</v>
      </c>
      <c r="AA8" t="b">
        <f t="shared" si="5"/>
        <v>0</v>
      </c>
      <c r="AB8" t="b">
        <f t="shared" si="6"/>
        <v>0</v>
      </c>
    </row>
    <row r="9" spans="1:28" x14ac:dyDescent="0.25">
      <c r="A9" s="1">
        <v>8</v>
      </c>
      <c r="B9" s="2">
        <v>133.80000000000001</v>
      </c>
      <c r="C9" s="1">
        <v>3</v>
      </c>
      <c r="E9" s="6"/>
      <c r="F9" s="7"/>
      <c r="H9" t="b">
        <f t="shared" si="0"/>
        <v>0</v>
      </c>
      <c r="I9" s="10"/>
      <c r="J9" s="1">
        <v>8</v>
      </c>
      <c r="K9" s="2">
        <v>133.80000000000001</v>
      </c>
      <c r="L9" s="1">
        <v>3</v>
      </c>
      <c r="N9" s="6" t="s">
        <v>27</v>
      </c>
      <c r="O9" s="7">
        <f>O7</f>
        <v>134.01666666666665</v>
      </c>
      <c r="P9" t="b">
        <f t="shared" si="1"/>
        <v>0</v>
      </c>
      <c r="Q9" t="b">
        <f t="shared" si="2"/>
        <v>0</v>
      </c>
      <c r="R9" t="b">
        <f t="shared" si="3"/>
        <v>0</v>
      </c>
      <c r="S9" s="10"/>
      <c r="T9" s="1">
        <v>8</v>
      </c>
      <c r="U9" s="2">
        <v>133.80000000000001</v>
      </c>
      <c r="V9" s="1">
        <v>3</v>
      </c>
      <c r="X9" s="11" t="s">
        <v>27</v>
      </c>
      <c r="Y9" s="12">
        <f>Y7</f>
        <v>133.71304347826086</v>
      </c>
      <c r="Z9" t="b">
        <f t="shared" si="4"/>
        <v>0</v>
      </c>
      <c r="AA9" t="b">
        <f t="shared" si="5"/>
        <v>0</v>
      </c>
      <c r="AB9" t="b">
        <f t="shared" si="6"/>
        <v>0</v>
      </c>
    </row>
    <row r="10" spans="1:28" x14ac:dyDescent="0.25">
      <c r="A10" s="1">
        <v>9</v>
      </c>
      <c r="B10" s="2">
        <v>134.80000000000001</v>
      </c>
      <c r="C10" s="1">
        <v>7</v>
      </c>
      <c r="E10" s="6"/>
      <c r="F10" s="7"/>
      <c r="H10" t="b">
        <f t="shared" si="0"/>
        <v>0</v>
      </c>
      <c r="I10" s="10"/>
      <c r="J10" s="1">
        <v>9</v>
      </c>
      <c r="K10" s="2">
        <v>134.80000000000001</v>
      </c>
      <c r="L10" s="1">
        <v>7</v>
      </c>
      <c r="N10" s="6" t="s">
        <v>26</v>
      </c>
      <c r="O10" s="7">
        <f>O7+3*O2/SQRT(5)</f>
        <v>136.73244140288199</v>
      </c>
      <c r="P10" t="b">
        <f t="shared" si="1"/>
        <v>0</v>
      </c>
      <c r="Q10" t="b">
        <f t="shared" si="2"/>
        <v>0</v>
      </c>
      <c r="R10" t="b">
        <f t="shared" si="3"/>
        <v>0</v>
      </c>
      <c r="S10" s="10"/>
      <c r="T10" s="1">
        <v>9</v>
      </c>
      <c r="U10" s="2">
        <v>134.80000000000001</v>
      </c>
      <c r="V10" s="1">
        <v>7</v>
      </c>
      <c r="X10" s="11" t="s">
        <v>26</v>
      </c>
      <c r="Y10" s="12">
        <f>Y7+3*O2/SQRT(5)</f>
        <v>136.42881821447619</v>
      </c>
      <c r="Z10" t="b">
        <f t="shared" si="4"/>
        <v>0</v>
      </c>
      <c r="AA10" t="b">
        <f t="shared" si="5"/>
        <v>0</v>
      </c>
      <c r="AB10" t="b">
        <f t="shared" si="6"/>
        <v>0</v>
      </c>
    </row>
    <row r="11" spans="1:28" x14ac:dyDescent="0.25">
      <c r="A11" s="1">
        <v>10</v>
      </c>
      <c r="B11" s="2">
        <v>134</v>
      </c>
      <c r="C11" s="31">
        <v>12</v>
      </c>
      <c r="H11" s="8" t="b">
        <f t="shared" si="0"/>
        <v>1</v>
      </c>
      <c r="I11" s="10"/>
      <c r="J11" s="1">
        <v>11</v>
      </c>
      <c r="K11" s="2">
        <v>133.6</v>
      </c>
      <c r="L11" s="1">
        <v>8</v>
      </c>
      <c r="P11" t="b">
        <f t="shared" si="1"/>
        <v>0</v>
      </c>
      <c r="Q11" t="b">
        <f t="shared" si="2"/>
        <v>0</v>
      </c>
      <c r="R11" t="b">
        <f t="shared" si="3"/>
        <v>0</v>
      </c>
      <c r="S11" s="10"/>
      <c r="T11" s="1">
        <v>11</v>
      </c>
      <c r="U11" s="2">
        <v>133.6</v>
      </c>
      <c r="V11" s="1">
        <v>8</v>
      </c>
      <c r="Z11" t="b">
        <f t="shared" si="4"/>
        <v>0</v>
      </c>
      <c r="AA11" t="b">
        <f t="shared" si="5"/>
        <v>0</v>
      </c>
      <c r="AB11" t="b">
        <f t="shared" si="6"/>
        <v>0</v>
      </c>
    </row>
    <row r="12" spans="1:28" x14ac:dyDescent="0.25">
      <c r="A12" s="1">
        <v>11</v>
      </c>
      <c r="B12" s="2">
        <v>133.6</v>
      </c>
      <c r="C12" s="1">
        <v>8</v>
      </c>
      <c r="H12" t="b">
        <f t="shared" si="0"/>
        <v>0</v>
      </c>
      <c r="I12" s="10"/>
      <c r="J12" s="1">
        <v>12</v>
      </c>
      <c r="K12" s="2">
        <v>131.9</v>
      </c>
      <c r="L12" s="1">
        <v>3</v>
      </c>
      <c r="P12" t="b">
        <f t="shared" si="1"/>
        <v>0</v>
      </c>
      <c r="Q12" t="b">
        <f t="shared" si="2"/>
        <v>0</v>
      </c>
      <c r="R12" t="b">
        <f t="shared" si="3"/>
        <v>0</v>
      </c>
      <c r="S12" s="10"/>
      <c r="T12" s="1">
        <v>12</v>
      </c>
      <c r="U12" s="2">
        <v>131.9</v>
      </c>
      <c r="V12" s="1">
        <v>3</v>
      </c>
      <c r="Z12" t="b">
        <f t="shared" si="4"/>
        <v>0</v>
      </c>
      <c r="AA12" t="b">
        <f t="shared" si="5"/>
        <v>0</v>
      </c>
      <c r="AB12" t="b">
        <f t="shared" si="6"/>
        <v>0</v>
      </c>
    </row>
    <row r="13" spans="1:28" x14ac:dyDescent="0.25">
      <c r="A13" s="1">
        <v>12</v>
      </c>
      <c r="B13" s="2">
        <v>131.9</v>
      </c>
      <c r="C13" s="1">
        <v>3</v>
      </c>
      <c r="H13" t="b">
        <f t="shared" si="0"/>
        <v>0</v>
      </c>
      <c r="I13" s="10"/>
      <c r="J13" s="1">
        <v>13</v>
      </c>
      <c r="K13" s="7">
        <v>141</v>
      </c>
      <c r="L13" s="1">
        <v>9</v>
      </c>
      <c r="N13" s="11"/>
      <c r="O13" s="12"/>
      <c r="P13" t="b">
        <f t="shared" si="1"/>
        <v>0</v>
      </c>
      <c r="Q13" s="8" t="b">
        <f t="shared" si="2"/>
        <v>0</v>
      </c>
      <c r="R13" s="8" t="b">
        <f t="shared" si="3"/>
        <v>1</v>
      </c>
      <c r="S13" s="10"/>
      <c r="T13" s="1">
        <v>14</v>
      </c>
      <c r="U13" s="2">
        <v>135.4</v>
      </c>
      <c r="V13" s="1">
        <v>8</v>
      </c>
      <c r="X13" s="11"/>
      <c r="Y13" s="12"/>
      <c r="Z13" t="b">
        <f t="shared" si="4"/>
        <v>0</v>
      </c>
      <c r="AA13" t="b">
        <f t="shared" si="5"/>
        <v>0</v>
      </c>
      <c r="AB13" t="b">
        <f t="shared" si="6"/>
        <v>0</v>
      </c>
    </row>
    <row r="14" spans="1:28" x14ac:dyDescent="0.25">
      <c r="A14" s="1">
        <v>13</v>
      </c>
      <c r="B14" s="2">
        <v>141</v>
      </c>
      <c r="C14" s="1">
        <v>9</v>
      </c>
      <c r="H14" t="b">
        <f t="shared" si="0"/>
        <v>0</v>
      </c>
      <c r="I14" s="10"/>
      <c r="J14" s="1">
        <v>14</v>
      </c>
      <c r="K14" s="2">
        <v>135.4</v>
      </c>
      <c r="L14" s="1">
        <v>8</v>
      </c>
      <c r="N14" s="11"/>
      <c r="O14" s="14"/>
      <c r="P14" t="b">
        <f t="shared" si="1"/>
        <v>0</v>
      </c>
      <c r="Q14" t="b">
        <f t="shared" si="2"/>
        <v>0</v>
      </c>
      <c r="R14" t="b">
        <f t="shared" si="3"/>
        <v>0</v>
      </c>
      <c r="S14" s="10"/>
      <c r="T14" s="1">
        <v>15</v>
      </c>
      <c r="U14" s="2">
        <v>134</v>
      </c>
      <c r="V14" s="1">
        <v>6</v>
      </c>
      <c r="X14" s="11"/>
      <c r="Y14" s="14"/>
      <c r="Z14" t="b">
        <f t="shared" si="4"/>
        <v>0</v>
      </c>
      <c r="AA14" t="b">
        <f t="shared" si="5"/>
        <v>0</v>
      </c>
      <c r="AB14" t="b">
        <f t="shared" si="6"/>
        <v>0</v>
      </c>
    </row>
    <row r="15" spans="1:28" x14ac:dyDescent="0.25">
      <c r="A15" s="1">
        <v>14</v>
      </c>
      <c r="B15" s="2">
        <v>135.4</v>
      </c>
      <c r="C15" s="1">
        <v>8</v>
      </c>
      <c r="H15" t="b">
        <f t="shared" si="0"/>
        <v>0</v>
      </c>
      <c r="I15" s="10"/>
      <c r="J15" s="1">
        <v>15</v>
      </c>
      <c r="K15" s="2">
        <v>134</v>
      </c>
      <c r="L15" s="1">
        <v>6</v>
      </c>
      <c r="P15" t="b">
        <f t="shared" si="1"/>
        <v>0</v>
      </c>
      <c r="Q15" t="b">
        <f t="shared" si="2"/>
        <v>0</v>
      </c>
      <c r="R15" t="b">
        <f t="shared" si="3"/>
        <v>0</v>
      </c>
      <c r="S15" s="10"/>
      <c r="T15" s="1">
        <v>16</v>
      </c>
      <c r="U15" s="2">
        <v>135</v>
      </c>
      <c r="V15" s="1">
        <v>5</v>
      </c>
      <c r="Z15" t="b">
        <f t="shared" si="4"/>
        <v>0</v>
      </c>
      <c r="AA15" t="b">
        <f t="shared" si="5"/>
        <v>0</v>
      </c>
      <c r="AB15" t="b">
        <f t="shared" si="6"/>
        <v>0</v>
      </c>
    </row>
    <row r="16" spans="1:28" x14ac:dyDescent="0.25">
      <c r="A16" s="1">
        <v>15</v>
      </c>
      <c r="B16" s="2">
        <v>134</v>
      </c>
      <c r="C16" s="1">
        <v>6</v>
      </c>
      <c r="H16" t="b">
        <f t="shared" si="0"/>
        <v>0</v>
      </c>
      <c r="I16" s="10"/>
      <c r="J16" s="1">
        <v>16</v>
      </c>
      <c r="K16" s="2">
        <v>135</v>
      </c>
      <c r="L16" s="1">
        <v>5</v>
      </c>
      <c r="P16" t="b">
        <f t="shared" si="1"/>
        <v>0</v>
      </c>
      <c r="Q16" t="b">
        <f t="shared" si="2"/>
        <v>0</v>
      </c>
      <c r="R16" t="b">
        <f t="shared" si="3"/>
        <v>0</v>
      </c>
      <c r="S16" s="10"/>
      <c r="T16" s="1">
        <v>17</v>
      </c>
      <c r="U16" s="2">
        <v>134.9</v>
      </c>
      <c r="V16" s="1">
        <v>7</v>
      </c>
      <c r="Z16" t="b">
        <f t="shared" si="4"/>
        <v>0</v>
      </c>
      <c r="AA16" t="b">
        <f t="shared" si="5"/>
        <v>0</v>
      </c>
      <c r="AB16" t="b">
        <f t="shared" si="6"/>
        <v>0</v>
      </c>
    </row>
    <row r="17" spans="1:28" x14ac:dyDescent="0.25">
      <c r="A17" s="1">
        <v>16</v>
      </c>
      <c r="B17" s="2">
        <v>135</v>
      </c>
      <c r="C17" s="1">
        <v>5</v>
      </c>
      <c r="H17" t="b">
        <f t="shared" si="0"/>
        <v>0</v>
      </c>
      <c r="I17" s="10"/>
      <c r="J17" s="1">
        <v>17</v>
      </c>
      <c r="K17" s="2">
        <v>134.9</v>
      </c>
      <c r="L17" s="1">
        <v>7</v>
      </c>
      <c r="P17" t="b">
        <f t="shared" si="1"/>
        <v>0</v>
      </c>
      <c r="Q17" t="b">
        <f t="shared" si="2"/>
        <v>0</v>
      </c>
      <c r="R17" t="b">
        <f t="shared" si="3"/>
        <v>0</v>
      </c>
      <c r="S17" s="10"/>
      <c r="T17" s="1">
        <v>18</v>
      </c>
      <c r="U17" s="2">
        <v>133.5</v>
      </c>
      <c r="V17" s="1">
        <v>4</v>
      </c>
      <c r="Z17" t="b">
        <f t="shared" si="4"/>
        <v>0</v>
      </c>
      <c r="AA17" t="b">
        <f t="shared" si="5"/>
        <v>0</v>
      </c>
      <c r="AB17" t="b">
        <f t="shared" si="6"/>
        <v>0</v>
      </c>
    </row>
    <row r="18" spans="1:28" x14ac:dyDescent="0.25">
      <c r="A18" s="1">
        <v>17</v>
      </c>
      <c r="B18" s="2">
        <v>134.9</v>
      </c>
      <c r="C18" s="1">
        <v>7</v>
      </c>
      <c r="H18" t="b">
        <f t="shared" si="0"/>
        <v>0</v>
      </c>
      <c r="I18" s="10"/>
      <c r="J18" s="1">
        <v>18</v>
      </c>
      <c r="K18" s="2">
        <v>133.5</v>
      </c>
      <c r="L18" s="1">
        <v>4</v>
      </c>
      <c r="P18" t="b">
        <f t="shared" si="1"/>
        <v>0</v>
      </c>
      <c r="Q18" t="b">
        <f t="shared" si="2"/>
        <v>0</v>
      </c>
      <c r="R18" t="b">
        <f t="shared" si="3"/>
        <v>0</v>
      </c>
      <c r="S18" s="10"/>
      <c r="T18" s="1">
        <v>19</v>
      </c>
      <c r="U18" s="2">
        <v>131.69999999999999</v>
      </c>
      <c r="V18" s="1">
        <v>3</v>
      </c>
      <c r="Z18" t="b">
        <f t="shared" si="4"/>
        <v>0</v>
      </c>
      <c r="AA18" t="b">
        <f t="shared" si="5"/>
        <v>0</v>
      </c>
      <c r="AB18" t="b">
        <f t="shared" si="6"/>
        <v>0</v>
      </c>
    </row>
    <row r="19" spans="1:28" x14ac:dyDescent="0.25">
      <c r="A19" s="1">
        <v>18</v>
      </c>
      <c r="B19" s="2">
        <v>133.5</v>
      </c>
      <c r="C19" s="1">
        <v>4</v>
      </c>
      <c r="H19" t="b">
        <f t="shared" si="0"/>
        <v>0</v>
      </c>
      <c r="I19" s="10"/>
      <c r="J19" s="1">
        <v>19</v>
      </c>
      <c r="K19" s="2">
        <v>131.69999999999999</v>
      </c>
      <c r="L19" s="1">
        <v>3</v>
      </c>
      <c r="P19" t="b">
        <f t="shared" si="1"/>
        <v>0</v>
      </c>
      <c r="Q19" t="b">
        <f t="shared" si="2"/>
        <v>0</v>
      </c>
      <c r="R19" t="b">
        <f t="shared" si="3"/>
        <v>0</v>
      </c>
      <c r="S19" s="10"/>
      <c r="T19" s="1">
        <v>20</v>
      </c>
      <c r="U19" s="2">
        <v>134</v>
      </c>
      <c r="V19" s="1">
        <v>8</v>
      </c>
      <c r="Z19" t="b">
        <f t="shared" si="4"/>
        <v>0</v>
      </c>
      <c r="AA19" t="b">
        <f t="shared" si="5"/>
        <v>0</v>
      </c>
      <c r="AB19" t="b">
        <f t="shared" si="6"/>
        <v>0</v>
      </c>
    </row>
    <row r="20" spans="1:28" x14ac:dyDescent="0.25">
      <c r="A20" s="1">
        <v>19</v>
      </c>
      <c r="B20" s="2">
        <v>131.69999999999999</v>
      </c>
      <c r="C20" s="1">
        <v>3</v>
      </c>
      <c r="H20" t="b">
        <f t="shared" si="0"/>
        <v>0</v>
      </c>
      <c r="I20" s="10"/>
      <c r="J20" s="1">
        <v>20</v>
      </c>
      <c r="K20" s="2">
        <v>134</v>
      </c>
      <c r="L20" s="1">
        <v>8</v>
      </c>
      <c r="P20" t="b">
        <f t="shared" si="1"/>
        <v>0</v>
      </c>
      <c r="Q20" t="b">
        <f t="shared" si="2"/>
        <v>0</v>
      </c>
      <c r="R20" t="b">
        <f t="shared" si="3"/>
        <v>0</v>
      </c>
      <c r="S20" s="10"/>
      <c r="T20" s="1">
        <v>21</v>
      </c>
      <c r="U20" s="2">
        <v>135.1</v>
      </c>
      <c r="V20" s="1">
        <v>4</v>
      </c>
      <c r="Z20" t="b">
        <f t="shared" si="4"/>
        <v>0</v>
      </c>
      <c r="AA20" t="b">
        <f t="shared" si="5"/>
        <v>0</v>
      </c>
      <c r="AB20" t="b">
        <f t="shared" si="6"/>
        <v>0</v>
      </c>
    </row>
    <row r="21" spans="1:28" x14ac:dyDescent="0.25">
      <c r="A21" s="1">
        <v>20</v>
      </c>
      <c r="B21" s="2">
        <v>134</v>
      </c>
      <c r="C21" s="1">
        <v>8</v>
      </c>
      <c r="H21" t="b">
        <f t="shared" si="0"/>
        <v>0</v>
      </c>
      <c r="I21" s="10"/>
      <c r="J21" s="1">
        <v>21</v>
      </c>
      <c r="K21" s="2">
        <v>135.1</v>
      </c>
      <c r="L21" s="1">
        <v>4</v>
      </c>
      <c r="P21" t="b">
        <f t="shared" si="1"/>
        <v>0</v>
      </c>
      <c r="Q21" t="b">
        <f t="shared" si="2"/>
        <v>0</v>
      </c>
      <c r="R21" t="b">
        <f t="shared" si="3"/>
        <v>0</v>
      </c>
      <c r="S21" s="10"/>
      <c r="T21" s="1">
        <v>22</v>
      </c>
      <c r="U21" s="2">
        <v>133.69999999999999</v>
      </c>
      <c r="V21" s="1">
        <v>2</v>
      </c>
      <c r="Z21" t="b">
        <f t="shared" si="4"/>
        <v>0</v>
      </c>
      <c r="AA21" t="b">
        <f t="shared" si="5"/>
        <v>0</v>
      </c>
      <c r="AB21" t="b">
        <f t="shared" si="6"/>
        <v>0</v>
      </c>
    </row>
    <row r="22" spans="1:28" x14ac:dyDescent="0.25">
      <c r="A22" s="1">
        <v>21</v>
      </c>
      <c r="B22" s="2">
        <v>135.1</v>
      </c>
      <c r="C22" s="1">
        <v>4</v>
      </c>
      <c r="H22" t="b">
        <f t="shared" si="0"/>
        <v>0</v>
      </c>
      <c r="I22" s="10"/>
      <c r="J22" s="1">
        <v>22</v>
      </c>
      <c r="K22" s="2">
        <v>133.69999999999999</v>
      </c>
      <c r="L22" s="1">
        <v>2</v>
      </c>
      <c r="P22" t="b">
        <f t="shared" si="1"/>
        <v>0</v>
      </c>
      <c r="Q22" t="b">
        <f t="shared" si="2"/>
        <v>0</v>
      </c>
      <c r="R22" t="b">
        <f t="shared" si="3"/>
        <v>0</v>
      </c>
      <c r="S22" s="10"/>
      <c r="T22" s="1">
        <v>23</v>
      </c>
      <c r="U22" s="2">
        <v>132.80000000000001</v>
      </c>
      <c r="V22" s="1">
        <v>1</v>
      </c>
      <c r="Z22" t="b">
        <f t="shared" si="4"/>
        <v>0</v>
      </c>
      <c r="AA22" t="b">
        <f t="shared" si="5"/>
        <v>0</v>
      </c>
      <c r="AB22" t="b">
        <f t="shared" si="6"/>
        <v>0</v>
      </c>
    </row>
    <row r="23" spans="1:28" x14ac:dyDescent="0.25">
      <c r="A23" s="1">
        <v>22</v>
      </c>
      <c r="B23" s="2">
        <v>133.69999999999999</v>
      </c>
      <c r="C23" s="1">
        <v>2</v>
      </c>
      <c r="H23" t="b">
        <f t="shared" si="0"/>
        <v>0</v>
      </c>
      <c r="I23" s="10"/>
      <c r="J23" s="1">
        <v>23</v>
      </c>
      <c r="K23" s="2">
        <v>132.80000000000001</v>
      </c>
      <c r="L23" s="1">
        <v>1</v>
      </c>
      <c r="P23" t="b">
        <f t="shared" si="1"/>
        <v>0</v>
      </c>
      <c r="Q23" t="b">
        <f t="shared" si="2"/>
        <v>0</v>
      </c>
      <c r="R23" t="b">
        <f t="shared" si="3"/>
        <v>0</v>
      </c>
      <c r="S23" s="10"/>
      <c r="T23" s="1">
        <v>24</v>
      </c>
      <c r="U23" s="2">
        <v>133.5</v>
      </c>
      <c r="V23" s="1">
        <v>3</v>
      </c>
      <c r="Z23" t="b">
        <f t="shared" si="4"/>
        <v>0</v>
      </c>
      <c r="AA23" t="b">
        <f t="shared" si="5"/>
        <v>0</v>
      </c>
      <c r="AB23" t="b">
        <f t="shared" si="6"/>
        <v>0</v>
      </c>
    </row>
    <row r="24" spans="1:28" x14ac:dyDescent="0.25">
      <c r="A24" s="1">
        <v>23</v>
      </c>
      <c r="B24" s="2">
        <v>132.80000000000001</v>
      </c>
      <c r="C24" s="1">
        <v>1</v>
      </c>
      <c r="H24" t="b">
        <f t="shared" si="0"/>
        <v>0</v>
      </c>
      <c r="I24" s="10"/>
      <c r="J24" s="1">
        <v>24</v>
      </c>
      <c r="K24" s="2">
        <v>133.5</v>
      </c>
      <c r="L24" s="1">
        <v>3</v>
      </c>
      <c r="P24" t="b">
        <f t="shared" si="1"/>
        <v>0</v>
      </c>
      <c r="Q24" t="b">
        <f t="shared" si="2"/>
        <v>0</v>
      </c>
      <c r="R24" t="b">
        <f t="shared" si="3"/>
        <v>0</v>
      </c>
      <c r="S24" s="10"/>
      <c r="T24" s="1">
        <v>25</v>
      </c>
      <c r="U24" s="1">
        <v>134.19999999999999</v>
      </c>
      <c r="V24" s="1">
        <v>2</v>
      </c>
      <c r="Z24" t="b">
        <f t="shared" si="4"/>
        <v>0</v>
      </c>
      <c r="AA24" t="b">
        <f t="shared" si="5"/>
        <v>0</v>
      </c>
      <c r="AB24" t="b">
        <f t="shared" si="6"/>
        <v>0</v>
      </c>
    </row>
    <row r="25" spans="1:28" x14ac:dyDescent="0.25">
      <c r="A25" s="1">
        <v>24</v>
      </c>
      <c r="B25" s="2">
        <v>133.5</v>
      </c>
      <c r="C25" s="1">
        <v>3</v>
      </c>
      <c r="H25" t="b">
        <f t="shared" si="0"/>
        <v>0</v>
      </c>
      <c r="I25" s="10"/>
      <c r="J25" s="1">
        <v>25</v>
      </c>
      <c r="K25" s="1">
        <v>134.19999999999999</v>
      </c>
      <c r="L25" s="1">
        <v>2</v>
      </c>
      <c r="P25" t="b">
        <f t="shared" si="1"/>
        <v>0</v>
      </c>
      <c r="Q25" t="b">
        <f t="shared" si="2"/>
        <v>0</v>
      </c>
      <c r="R25" t="b">
        <f t="shared" si="3"/>
        <v>0</v>
      </c>
      <c r="S25" s="10"/>
    </row>
    <row r="26" spans="1:28" x14ac:dyDescent="0.25">
      <c r="A26" s="1">
        <v>25</v>
      </c>
      <c r="B26" s="1">
        <v>134.19999999999999</v>
      </c>
      <c r="C26" s="1">
        <v>2</v>
      </c>
      <c r="H26" t="b">
        <f t="shared" si="0"/>
        <v>0</v>
      </c>
      <c r="I26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J1" workbookViewId="0">
      <selection activeCell="T25" sqref="T25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2.42578125" customWidth="1"/>
    <col min="8" max="8" width="10.42578125" customWidth="1"/>
    <col min="9" max="9" width="2.7109375" customWidth="1"/>
    <col min="10" max="10" width="10.5703125" customWidth="1"/>
    <col min="13" max="13" width="2.85546875" customWidth="1"/>
    <col min="14" max="14" width="14.140625" customWidth="1"/>
    <col min="16" max="16" width="11.5703125" customWidth="1"/>
    <col min="21" max="22" width="12" bestFit="1" customWidth="1"/>
  </cols>
  <sheetData>
    <row r="1" spans="1:26" x14ac:dyDescent="0.25">
      <c r="A1" s="1" t="s">
        <v>18</v>
      </c>
      <c r="B1" s="1" t="s">
        <v>19</v>
      </c>
      <c r="C1" s="1" t="s">
        <v>20</v>
      </c>
      <c r="D1" s="1"/>
      <c r="E1" s="6" t="s">
        <v>25</v>
      </c>
      <c r="F1" s="7">
        <f>AVERAGE(C2:C31)</f>
        <v>4.4030000000000005</v>
      </c>
      <c r="H1" t="s">
        <v>32</v>
      </c>
      <c r="I1" s="10"/>
      <c r="J1" s="1" t="s">
        <v>18</v>
      </c>
      <c r="K1" s="1" t="s">
        <v>19</v>
      </c>
      <c r="L1" s="1" t="s">
        <v>20</v>
      </c>
      <c r="M1" s="1"/>
      <c r="N1" s="11" t="s">
        <v>25</v>
      </c>
      <c r="O1" s="12">
        <f>AVERAGE(L2:L30)</f>
        <v>4.2031034482758622</v>
      </c>
      <c r="P1" t="s">
        <v>32</v>
      </c>
      <c r="Q1" t="s">
        <v>19</v>
      </c>
      <c r="R1" t="s">
        <v>34</v>
      </c>
      <c r="T1" s="28" t="s">
        <v>35</v>
      </c>
      <c r="U1" s="29">
        <f>SQRT(5)*(O8-7.5)/O2</f>
        <v>-6.2130805390888311</v>
      </c>
      <c r="V1" s="29">
        <f>_xlfn.NORM.DIST(U1,0,1,TRUE)</f>
        <v>2.5977900922904E-10</v>
      </c>
      <c r="W1" s="8">
        <f>O5/3.61</f>
        <v>2.4617372158903077</v>
      </c>
      <c r="X1" s="22" t="s">
        <v>35</v>
      </c>
      <c r="Y1" s="23">
        <f>SQRT(5)*(O8-O7)/3.61</f>
        <v>-1.5016697128245067</v>
      </c>
      <c r="Z1" s="23">
        <f>_xlfn.NORM.DIST(Y1,0,1,TRUE)</f>
        <v>6.6591214768274856E-2</v>
      </c>
    </row>
    <row r="2" spans="1:26" x14ac:dyDescent="0.25">
      <c r="A2" s="1">
        <v>1</v>
      </c>
      <c r="B2" s="2">
        <v>5</v>
      </c>
      <c r="C2" s="2">
        <v>4.12</v>
      </c>
      <c r="E2" s="6" t="s">
        <v>21</v>
      </c>
      <c r="F2" s="7">
        <f>F1/2.326</f>
        <v>1.8929492691315564</v>
      </c>
      <c r="H2" t="b">
        <f>C2 &gt; $F$5</f>
        <v>0</v>
      </c>
      <c r="I2" s="10"/>
      <c r="J2" s="1">
        <v>1</v>
      </c>
      <c r="K2" s="2">
        <v>5</v>
      </c>
      <c r="L2" s="2">
        <v>4.12</v>
      </c>
      <c r="N2" s="11" t="s">
        <v>21</v>
      </c>
      <c r="O2" s="12">
        <f>O1/2.326</f>
        <v>1.8070092210988229</v>
      </c>
      <c r="P2" t="b">
        <f>L2 &gt; $O$5</f>
        <v>0</v>
      </c>
      <c r="Q2" t="b">
        <f>K2 &lt; $O$8</f>
        <v>0</v>
      </c>
      <c r="R2" t="b">
        <f>K2 &gt; $O$10</f>
        <v>0</v>
      </c>
      <c r="T2" s="28" t="s">
        <v>36</v>
      </c>
      <c r="U2" s="29">
        <f>SQRT(5)*(O10-7.5)/O2</f>
        <v>-0.21308053908883176</v>
      </c>
      <c r="V2" s="29">
        <f>1-_xlfn.NORM.DIST(U2,0,1,TRUE)</f>
        <v>0.58436792817871397</v>
      </c>
      <c r="X2" s="22" t="s">
        <v>36</v>
      </c>
      <c r="Y2" s="23">
        <f>SQRT(5)*(O10-O7)/3.61</f>
        <v>1.5016697128245065</v>
      </c>
      <c r="Z2" s="23">
        <f>1-_xlfn.NORM.DIST(Y2,0,1,TRUE)</f>
        <v>6.6591214768274898E-2</v>
      </c>
    </row>
    <row r="3" spans="1:26" x14ac:dyDescent="0.25">
      <c r="A3" s="1">
        <v>2</v>
      </c>
      <c r="B3" s="2">
        <v>7.05</v>
      </c>
      <c r="C3" s="2">
        <v>6.18</v>
      </c>
      <c r="E3" s="6" t="s">
        <v>22</v>
      </c>
      <c r="F3" s="7">
        <f>MAX((2.326-3*0.864)*F2,0)</f>
        <v>0</v>
      </c>
      <c r="H3" t="b">
        <f t="shared" ref="H3:H31" si="0">C3 &gt; $F$5</f>
        <v>0</v>
      </c>
      <c r="I3" s="10"/>
      <c r="J3" s="1">
        <v>2</v>
      </c>
      <c r="K3" s="2">
        <v>7.05</v>
      </c>
      <c r="L3" s="2">
        <v>6.18</v>
      </c>
      <c r="N3" s="11" t="s">
        <v>22</v>
      </c>
      <c r="O3" s="12">
        <f>MAX((2.326-3*0.864)*O2,0)</f>
        <v>0</v>
      </c>
      <c r="P3" t="b">
        <f t="shared" ref="P3:P30" si="1">L3 &gt; $O$5</f>
        <v>0</v>
      </c>
      <c r="Q3" t="b">
        <f t="shared" ref="Q3:Q30" si="2">K3 &lt; $O$8</f>
        <v>0</v>
      </c>
      <c r="R3" t="b">
        <f t="shared" ref="R3:R30" si="3">K3 &gt; $O$10</f>
        <v>0</v>
      </c>
      <c r="X3" s="24"/>
      <c r="Y3" s="24"/>
      <c r="Z3" s="24"/>
    </row>
    <row r="4" spans="1:26" x14ac:dyDescent="0.25">
      <c r="A4" s="1">
        <v>3</v>
      </c>
      <c r="B4" s="2">
        <v>3.1</v>
      </c>
      <c r="C4" s="2">
        <v>4</v>
      </c>
      <c r="E4" s="6" t="s">
        <v>24</v>
      </c>
      <c r="F4" s="7">
        <f>F1</f>
        <v>4.4030000000000005</v>
      </c>
      <c r="H4" t="b">
        <f t="shared" si="0"/>
        <v>0</v>
      </c>
      <c r="I4" s="10"/>
      <c r="J4" s="1">
        <v>3</v>
      </c>
      <c r="K4" s="2">
        <v>3.1</v>
      </c>
      <c r="L4" s="2">
        <v>4</v>
      </c>
      <c r="N4" s="11" t="s">
        <v>24</v>
      </c>
      <c r="O4" s="12">
        <f>O1</f>
        <v>4.2031034482758622</v>
      </c>
      <c r="P4" t="b">
        <f t="shared" si="1"/>
        <v>0</v>
      </c>
      <c r="Q4" t="b">
        <f t="shared" si="2"/>
        <v>0</v>
      </c>
      <c r="R4" t="b">
        <f t="shared" si="3"/>
        <v>0</v>
      </c>
      <c r="T4" s="5" t="s">
        <v>37</v>
      </c>
      <c r="U4" s="27">
        <f>V1+V2</f>
        <v>0.58436792843849295</v>
      </c>
      <c r="X4" s="25" t="s">
        <v>35</v>
      </c>
      <c r="Y4" s="26">
        <f>SQRT(5)*(O8-6)/3.61</f>
        <v>-2.1808841715549803</v>
      </c>
      <c r="Z4" s="26">
        <f>_xlfn.NORM.DIST(Y4,0,1,TRUE)</f>
        <v>1.4595992370946387E-2</v>
      </c>
    </row>
    <row r="5" spans="1:26" x14ac:dyDescent="0.25">
      <c r="A5" s="1">
        <v>4</v>
      </c>
      <c r="B5" s="2">
        <v>6.15</v>
      </c>
      <c r="C5" s="2">
        <v>7.04</v>
      </c>
      <c r="E5" s="6" t="s">
        <v>23</v>
      </c>
      <c r="F5" s="7">
        <f>(2.326+3*0.864)*F2</f>
        <v>9.3095245055889944</v>
      </c>
      <c r="H5" t="b">
        <f t="shared" si="0"/>
        <v>0</v>
      </c>
      <c r="I5" s="10"/>
      <c r="J5" s="1">
        <v>4</v>
      </c>
      <c r="K5" s="2">
        <v>6.15</v>
      </c>
      <c r="L5" s="2">
        <v>7.04</v>
      </c>
      <c r="N5" s="11" t="s">
        <v>23</v>
      </c>
      <c r="O5" s="12">
        <f>(2.326+3*0.864)*O2</f>
        <v>8.8868713493640108</v>
      </c>
      <c r="P5" t="b">
        <f t="shared" si="1"/>
        <v>0</v>
      </c>
      <c r="Q5" t="b">
        <f t="shared" si="2"/>
        <v>0</v>
      </c>
      <c r="R5" t="b">
        <f t="shared" si="3"/>
        <v>0</v>
      </c>
      <c r="T5" s="5" t="s">
        <v>38</v>
      </c>
      <c r="U5" s="19">
        <f>U4+U4*((1-U4))+U4*((1-U4)^2)</f>
        <v>0.92819955177793523</v>
      </c>
      <c r="X5" s="25" t="s">
        <v>36</v>
      </c>
      <c r="Y5" s="26">
        <f>SQRT(5)*(O10-6)/3.61</f>
        <v>0.82245525409403264</v>
      </c>
      <c r="Z5" s="26">
        <f>1-_xlfn.NORM.DIST(Y5,0,1,TRUE)</f>
        <v>0.20540892162273239</v>
      </c>
    </row>
    <row r="6" spans="1:26" x14ac:dyDescent="0.25">
      <c r="A6" s="1">
        <v>5</v>
      </c>
      <c r="B6" s="2">
        <v>2.9</v>
      </c>
      <c r="C6" s="2">
        <v>4.12</v>
      </c>
      <c r="H6" t="b">
        <f t="shared" si="0"/>
        <v>0</v>
      </c>
      <c r="I6" s="10"/>
      <c r="J6" s="1">
        <v>5</v>
      </c>
      <c r="K6" s="2">
        <v>2.9</v>
      </c>
      <c r="L6" s="2">
        <v>4.12</v>
      </c>
      <c r="N6" s="13"/>
      <c r="O6" s="13"/>
      <c r="P6" t="b">
        <f t="shared" si="1"/>
        <v>0</v>
      </c>
      <c r="Q6" t="b">
        <f t="shared" si="2"/>
        <v>0</v>
      </c>
      <c r="R6" t="b">
        <f t="shared" si="3"/>
        <v>0</v>
      </c>
      <c r="T6" s="5" t="s">
        <v>39</v>
      </c>
      <c r="U6" s="7">
        <f>1-0.6</f>
        <v>0.4</v>
      </c>
    </row>
    <row r="7" spans="1:26" x14ac:dyDescent="0.25">
      <c r="A7" s="1">
        <v>6</v>
      </c>
      <c r="B7" s="2">
        <v>5.05</v>
      </c>
      <c r="C7" s="2">
        <v>0.08</v>
      </c>
      <c r="E7" s="6"/>
      <c r="F7" s="7"/>
      <c r="H7" t="b">
        <f t="shared" si="0"/>
        <v>0</v>
      </c>
      <c r="I7" s="10"/>
      <c r="J7" s="1">
        <v>6</v>
      </c>
      <c r="K7" s="2">
        <v>5.05</v>
      </c>
      <c r="L7" s="2">
        <v>0.08</v>
      </c>
      <c r="N7" s="11" t="s">
        <v>29</v>
      </c>
      <c r="O7" s="12">
        <f>AVERAGE(K2:K30)</f>
        <v>4.9034482758620692</v>
      </c>
      <c r="P7" t="b">
        <f t="shared" si="1"/>
        <v>0</v>
      </c>
      <c r="Q7" t="b">
        <f t="shared" si="2"/>
        <v>0</v>
      </c>
      <c r="R7" t="b">
        <f t="shared" si="3"/>
        <v>0</v>
      </c>
      <c r="T7" s="5" t="s">
        <v>40</v>
      </c>
      <c r="U7" s="20">
        <f>Z1+Z2</f>
        <v>0.13318242953654974</v>
      </c>
    </row>
    <row r="8" spans="1:26" x14ac:dyDescent="0.25">
      <c r="A8" s="1">
        <v>7</v>
      </c>
      <c r="B8" s="2">
        <v>6</v>
      </c>
      <c r="C8" s="2">
        <v>4.12</v>
      </c>
      <c r="E8" s="6" t="s">
        <v>29</v>
      </c>
      <c r="F8" s="7">
        <f>AVERAGE(B2:B31)</f>
        <v>4.9033333333333342</v>
      </c>
      <c r="H8" t="b">
        <f t="shared" si="0"/>
        <v>0</v>
      </c>
      <c r="I8" s="10"/>
      <c r="J8" s="1">
        <v>7</v>
      </c>
      <c r="K8" s="2">
        <v>6</v>
      </c>
      <c r="L8" s="2">
        <v>4.12</v>
      </c>
      <c r="N8" s="11" t="s">
        <v>28</v>
      </c>
      <c r="O8" s="12">
        <f>O7-3*O2/SQRT(5)</f>
        <v>2.4790910032545201</v>
      </c>
      <c r="P8" t="b">
        <f t="shared" si="1"/>
        <v>0</v>
      </c>
      <c r="Q8" t="b">
        <f t="shared" si="2"/>
        <v>0</v>
      </c>
      <c r="R8" t="b">
        <f t="shared" si="3"/>
        <v>0</v>
      </c>
      <c r="T8" s="5" t="s">
        <v>41</v>
      </c>
      <c r="U8" s="21">
        <f>Z4+Z5</f>
        <v>0.22000491399367877</v>
      </c>
    </row>
    <row r="9" spans="1:26" x14ac:dyDescent="0.25">
      <c r="A9" s="1">
        <v>8</v>
      </c>
      <c r="B9" s="2">
        <v>3.25</v>
      </c>
      <c r="C9" s="2">
        <v>6.12</v>
      </c>
      <c r="E9" s="6"/>
      <c r="F9" s="7"/>
      <c r="H9" t="b">
        <f t="shared" si="0"/>
        <v>0</v>
      </c>
      <c r="I9" s="10"/>
      <c r="J9" s="1">
        <v>8</v>
      </c>
      <c r="K9" s="2">
        <v>3.25</v>
      </c>
      <c r="L9" s="2">
        <v>6.12</v>
      </c>
      <c r="N9" s="11" t="s">
        <v>27</v>
      </c>
      <c r="O9" s="12">
        <f>O7</f>
        <v>4.9034482758620692</v>
      </c>
      <c r="P9" t="b">
        <f t="shared" si="1"/>
        <v>0</v>
      </c>
      <c r="Q9" t="b">
        <f t="shared" si="2"/>
        <v>0</v>
      </c>
      <c r="R9" t="b">
        <f t="shared" si="3"/>
        <v>0</v>
      </c>
    </row>
    <row r="10" spans="1:26" x14ac:dyDescent="0.25">
      <c r="A10" s="30">
        <v>9</v>
      </c>
      <c r="B10" s="2">
        <v>4.9000000000000004</v>
      </c>
      <c r="C10" s="7">
        <v>10.199999999999999</v>
      </c>
      <c r="E10" s="6"/>
      <c r="F10" s="7"/>
      <c r="H10" s="8" t="b">
        <f t="shared" si="0"/>
        <v>1</v>
      </c>
      <c r="I10" s="10"/>
      <c r="J10" s="1">
        <v>10</v>
      </c>
      <c r="K10" s="2">
        <v>5</v>
      </c>
      <c r="L10" s="2">
        <v>2.06</v>
      </c>
      <c r="N10" s="11" t="s">
        <v>26</v>
      </c>
      <c r="O10" s="12">
        <f>O7+3*O2/SQRT(5)</f>
        <v>7.3278055484696178</v>
      </c>
      <c r="P10" t="b">
        <f t="shared" si="1"/>
        <v>0</v>
      </c>
      <c r="Q10" t="b">
        <f t="shared" si="2"/>
        <v>0</v>
      </c>
      <c r="R10" t="b">
        <f t="shared" si="3"/>
        <v>0</v>
      </c>
    </row>
    <row r="11" spans="1:26" x14ac:dyDescent="0.25">
      <c r="A11" s="1">
        <v>10</v>
      </c>
      <c r="B11" s="2">
        <v>5</v>
      </c>
      <c r="C11" s="2">
        <v>2.06</v>
      </c>
      <c r="H11" t="b">
        <f t="shared" si="0"/>
        <v>0</v>
      </c>
      <c r="I11" s="10"/>
      <c r="J11" s="1">
        <v>11</v>
      </c>
      <c r="K11" s="2">
        <v>6.1</v>
      </c>
      <c r="L11" s="2">
        <v>8.16</v>
      </c>
      <c r="P11" t="b">
        <f t="shared" si="1"/>
        <v>0</v>
      </c>
      <c r="Q11" t="b">
        <f t="shared" si="2"/>
        <v>0</v>
      </c>
      <c r="R11" t="b">
        <f t="shared" si="3"/>
        <v>0</v>
      </c>
    </row>
    <row r="12" spans="1:26" x14ac:dyDescent="0.25">
      <c r="A12" s="1">
        <v>11</v>
      </c>
      <c r="B12" s="2">
        <v>6.1</v>
      </c>
      <c r="C12" s="2">
        <v>8.16</v>
      </c>
      <c r="H12" t="b">
        <f t="shared" si="0"/>
        <v>0</v>
      </c>
      <c r="I12" s="10"/>
      <c r="J12" s="1">
        <v>12</v>
      </c>
      <c r="K12" s="2">
        <v>3.75</v>
      </c>
      <c r="L12" s="2">
        <v>4.12</v>
      </c>
      <c r="N12" s="6"/>
      <c r="O12" s="7"/>
      <c r="P12" t="b">
        <f t="shared" si="1"/>
        <v>0</v>
      </c>
      <c r="Q12" t="b">
        <f t="shared" si="2"/>
        <v>0</v>
      </c>
      <c r="R12" t="b">
        <f t="shared" si="3"/>
        <v>0</v>
      </c>
    </row>
    <row r="13" spans="1:26" x14ac:dyDescent="0.25">
      <c r="A13" s="1">
        <v>12</v>
      </c>
      <c r="B13" s="2">
        <v>3.75</v>
      </c>
      <c r="C13" s="2">
        <v>4.12</v>
      </c>
      <c r="H13" t="b">
        <f t="shared" si="0"/>
        <v>0</v>
      </c>
      <c r="I13" s="10"/>
      <c r="J13" s="1">
        <v>13</v>
      </c>
      <c r="K13" s="2">
        <v>5</v>
      </c>
      <c r="L13" s="2">
        <v>7.91</v>
      </c>
      <c r="N13" s="6"/>
      <c r="O13" s="7"/>
      <c r="P13" t="b">
        <f t="shared" si="1"/>
        <v>0</v>
      </c>
      <c r="Q13" t="b">
        <f t="shared" si="2"/>
        <v>0</v>
      </c>
      <c r="R13" t="b">
        <f t="shared" si="3"/>
        <v>0</v>
      </c>
    </row>
    <row r="14" spans="1:26" x14ac:dyDescent="0.25">
      <c r="A14" s="1">
        <v>13</v>
      </c>
      <c r="B14" s="2">
        <v>5</v>
      </c>
      <c r="C14" s="2">
        <v>7.91</v>
      </c>
      <c r="H14" t="b">
        <f t="shared" si="0"/>
        <v>0</v>
      </c>
      <c r="I14" s="10"/>
      <c r="J14" s="1">
        <v>14</v>
      </c>
      <c r="K14" s="2">
        <v>2.95</v>
      </c>
      <c r="L14" s="2">
        <v>3</v>
      </c>
      <c r="N14" s="6"/>
      <c r="O14" s="7"/>
      <c r="P14" t="b">
        <f t="shared" si="1"/>
        <v>0</v>
      </c>
      <c r="Q14" t="b">
        <f t="shared" si="2"/>
        <v>0</v>
      </c>
      <c r="R14" t="b">
        <f t="shared" si="3"/>
        <v>0</v>
      </c>
    </row>
    <row r="15" spans="1:26" x14ac:dyDescent="0.25">
      <c r="A15" s="1">
        <v>14</v>
      </c>
      <c r="B15" s="2">
        <v>2.95</v>
      </c>
      <c r="C15" s="2">
        <v>3</v>
      </c>
      <c r="H15" t="b">
        <f t="shared" si="0"/>
        <v>0</v>
      </c>
      <c r="I15" s="10"/>
      <c r="J15" s="1">
        <v>15</v>
      </c>
      <c r="K15" s="2">
        <v>5</v>
      </c>
      <c r="L15" s="2">
        <v>4.24</v>
      </c>
      <c r="N15" s="6"/>
      <c r="O15" s="7"/>
      <c r="P15" t="b">
        <f t="shared" si="1"/>
        <v>0</v>
      </c>
      <c r="Q15" t="b">
        <f t="shared" si="2"/>
        <v>0</v>
      </c>
      <c r="R15" t="b">
        <f t="shared" si="3"/>
        <v>0</v>
      </c>
    </row>
    <row r="16" spans="1:26" x14ac:dyDescent="0.25">
      <c r="A16" s="1">
        <v>15</v>
      </c>
      <c r="B16" s="2">
        <v>5</v>
      </c>
      <c r="C16" s="2">
        <v>4.24</v>
      </c>
      <c r="H16" t="b">
        <f t="shared" si="0"/>
        <v>0</v>
      </c>
      <c r="I16" s="10"/>
      <c r="J16" s="1">
        <v>16</v>
      </c>
      <c r="K16" s="2">
        <v>7.1</v>
      </c>
      <c r="L16" s="2">
        <v>2</v>
      </c>
      <c r="P16" t="b">
        <f t="shared" si="1"/>
        <v>0</v>
      </c>
      <c r="Q16" t="b">
        <f t="shared" si="2"/>
        <v>0</v>
      </c>
      <c r="R16" t="b">
        <f t="shared" si="3"/>
        <v>0</v>
      </c>
    </row>
    <row r="17" spans="1:18" x14ac:dyDescent="0.25">
      <c r="A17" s="1">
        <v>16</v>
      </c>
      <c r="B17" s="2">
        <v>7.1</v>
      </c>
      <c r="C17" s="2">
        <v>2</v>
      </c>
      <c r="H17" t="b">
        <f t="shared" si="0"/>
        <v>0</v>
      </c>
      <c r="I17" s="10"/>
      <c r="J17" s="1">
        <v>17</v>
      </c>
      <c r="K17" s="2">
        <v>4.9000000000000004</v>
      </c>
      <c r="L17" s="2">
        <v>4.12</v>
      </c>
      <c r="P17" t="b">
        <f t="shared" si="1"/>
        <v>0</v>
      </c>
      <c r="Q17" t="b">
        <f t="shared" si="2"/>
        <v>0</v>
      </c>
      <c r="R17" t="b">
        <f t="shared" si="3"/>
        <v>0</v>
      </c>
    </row>
    <row r="18" spans="1:18" x14ac:dyDescent="0.25">
      <c r="A18" s="1">
        <v>17</v>
      </c>
      <c r="B18" s="2">
        <v>4.9000000000000004</v>
      </c>
      <c r="C18" s="2">
        <v>4.12</v>
      </c>
      <c r="H18" t="b">
        <f t="shared" si="0"/>
        <v>0</v>
      </c>
      <c r="I18" s="10"/>
      <c r="J18" s="1">
        <v>18</v>
      </c>
      <c r="K18" s="2">
        <v>5</v>
      </c>
      <c r="L18" s="2">
        <v>2.2400000000000002</v>
      </c>
      <c r="P18" t="b">
        <f t="shared" si="1"/>
        <v>0</v>
      </c>
      <c r="Q18" t="b">
        <f t="shared" si="2"/>
        <v>0</v>
      </c>
      <c r="R18" t="b">
        <f t="shared" si="3"/>
        <v>0</v>
      </c>
    </row>
    <row r="19" spans="1:18" x14ac:dyDescent="0.25">
      <c r="A19" s="1">
        <v>18</v>
      </c>
      <c r="B19" s="2">
        <v>5</v>
      </c>
      <c r="C19" s="2">
        <v>2.2400000000000002</v>
      </c>
      <c r="H19" t="b">
        <f t="shared" si="0"/>
        <v>0</v>
      </c>
      <c r="I19" s="10"/>
      <c r="J19" s="1">
        <v>19</v>
      </c>
      <c r="K19" s="2">
        <v>4</v>
      </c>
      <c r="L19" s="2">
        <v>4.12</v>
      </c>
      <c r="P19" t="b">
        <f t="shared" si="1"/>
        <v>0</v>
      </c>
      <c r="Q19" t="b">
        <f t="shared" si="2"/>
        <v>0</v>
      </c>
      <c r="R19" t="b">
        <f t="shared" si="3"/>
        <v>0</v>
      </c>
    </row>
    <row r="20" spans="1:18" x14ac:dyDescent="0.25">
      <c r="A20" s="1">
        <v>19</v>
      </c>
      <c r="B20" s="2">
        <v>4</v>
      </c>
      <c r="C20" s="2">
        <v>4.12</v>
      </c>
      <c r="H20" t="b">
        <f t="shared" si="0"/>
        <v>0</v>
      </c>
      <c r="I20" s="10"/>
      <c r="J20" s="1">
        <v>20</v>
      </c>
      <c r="K20" s="2">
        <v>5.2</v>
      </c>
      <c r="L20" s="2">
        <v>6</v>
      </c>
      <c r="P20" t="b">
        <f t="shared" si="1"/>
        <v>0</v>
      </c>
      <c r="Q20" t="b">
        <f t="shared" si="2"/>
        <v>0</v>
      </c>
      <c r="R20" t="b">
        <f t="shared" si="3"/>
        <v>0</v>
      </c>
    </row>
    <row r="21" spans="1:18" x14ac:dyDescent="0.25">
      <c r="A21" s="1">
        <v>20</v>
      </c>
      <c r="B21" s="2">
        <v>5.2</v>
      </c>
      <c r="C21" s="2">
        <v>6</v>
      </c>
      <c r="H21" t="b">
        <f t="shared" si="0"/>
        <v>0</v>
      </c>
      <c r="I21" s="10"/>
      <c r="J21" s="1">
        <v>21</v>
      </c>
      <c r="K21" s="2">
        <v>3.85</v>
      </c>
      <c r="L21" s="2">
        <v>2.12</v>
      </c>
      <c r="P21" t="b">
        <f t="shared" si="1"/>
        <v>0</v>
      </c>
      <c r="Q21" t="b">
        <f t="shared" si="2"/>
        <v>0</v>
      </c>
      <c r="R21" t="b">
        <f t="shared" si="3"/>
        <v>0</v>
      </c>
    </row>
    <row r="22" spans="1:18" x14ac:dyDescent="0.25">
      <c r="A22" s="1">
        <v>21</v>
      </c>
      <c r="B22" s="2">
        <v>3.85</v>
      </c>
      <c r="C22" s="2">
        <v>2.12</v>
      </c>
      <c r="H22" t="b">
        <f t="shared" si="0"/>
        <v>0</v>
      </c>
      <c r="I22" s="10"/>
      <c r="J22" s="1">
        <v>22</v>
      </c>
      <c r="K22" s="2">
        <v>3.9</v>
      </c>
      <c r="L22" s="2">
        <v>4.12</v>
      </c>
      <c r="P22" t="b">
        <f t="shared" si="1"/>
        <v>0</v>
      </c>
      <c r="Q22" t="b">
        <f t="shared" si="2"/>
        <v>0</v>
      </c>
      <c r="R22" t="b">
        <f t="shared" si="3"/>
        <v>0</v>
      </c>
    </row>
    <row r="23" spans="1:18" x14ac:dyDescent="0.25">
      <c r="A23" s="1">
        <v>22</v>
      </c>
      <c r="B23" s="2">
        <v>3.9</v>
      </c>
      <c r="C23" s="2">
        <v>4.12</v>
      </c>
      <c r="H23" t="b">
        <f t="shared" si="0"/>
        <v>0</v>
      </c>
      <c r="I23" s="10"/>
      <c r="J23" s="1">
        <v>23</v>
      </c>
      <c r="K23" s="2">
        <v>6</v>
      </c>
      <c r="L23" s="2">
        <v>1.19</v>
      </c>
      <c r="P23" t="b">
        <f t="shared" si="1"/>
        <v>0</v>
      </c>
      <c r="Q23" t="b">
        <f t="shared" si="2"/>
        <v>0</v>
      </c>
      <c r="R23" t="b">
        <f t="shared" si="3"/>
        <v>0</v>
      </c>
    </row>
    <row r="24" spans="1:18" x14ac:dyDescent="0.25">
      <c r="A24" s="1">
        <v>23</v>
      </c>
      <c r="B24" s="2">
        <v>6</v>
      </c>
      <c r="C24" s="2">
        <v>1.19</v>
      </c>
      <c r="H24" t="b">
        <f t="shared" si="0"/>
        <v>0</v>
      </c>
      <c r="I24" s="10"/>
      <c r="J24" s="1">
        <v>24</v>
      </c>
      <c r="K24" s="2">
        <v>6.15</v>
      </c>
      <c r="L24" s="2">
        <v>1.2</v>
      </c>
      <c r="P24" t="b">
        <f t="shared" si="1"/>
        <v>0</v>
      </c>
      <c r="Q24" t="b">
        <f t="shared" si="2"/>
        <v>0</v>
      </c>
      <c r="R24" t="b">
        <f t="shared" si="3"/>
        <v>0</v>
      </c>
    </row>
    <row r="25" spans="1:18" x14ac:dyDescent="0.25">
      <c r="A25" s="1">
        <v>24</v>
      </c>
      <c r="B25" s="2">
        <v>6.15</v>
      </c>
      <c r="C25" s="2">
        <v>1.2</v>
      </c>
      <c r="H25" t="b">
        <f t="shared" si="0"/>
        <v>0</v>
      </c>
      <c r="I25" s="10"/>
      <c r="J25" s="1">
        <v>25</v>
      </c>
      <c r="K25" s="2">
        <v>4.9000000000000004</v>
      </c>
      <c r="L25" s="2">
        <v>5.24</v>
      </c>
      <c r="P25" t="b">
        <f t="shared" si="1"/>
        <v>0</v>
      </c>
      <c r="Q25" t="b">
        <f t="shared" si="2"/>
        <v>0</v>
      </c>
      <c r="R25" t="b">
        <f t="shared" si="3"/>
        <v>0</v>
      </c>
    </row>
    <row r="26" spans="1:18" x14ac:dyDescent="0.25">
      <c r="A26" s="1">
        <v>25</v>
      </c>
      <c r="B26" s="2">
        <v>4.9000000000000004</v>
      </c>
      <c r="C26" s="2">
        <v>5.24</v>
      </c>
      <c r="H26" t="b">
        <f t="shared" si="0"/>
        <v>0</v>
      </c>
      <c r="I26" s="10"/>
      <c r="J26" s="1">
        <v>26</v>
      </c>
      <c r="K26" s="2">
        <v>5</v>
      </c>
      <c r="L26" s="2">
        <v>4.09</v>
      </c>
      <c r="P26" t="b">
        <f t="shared" si="1"/>
        <v>0</v>
      </c>
      <c r="Q26" t="b">
        <f t="shared" si="2"/>
        <v>0</v>
      </c>
      <c r="R26" t="b">
        <f t="shared" si="3"/>
        <v>0</v>
      </c>
    </row>
    <row r="27" spans="1:18" x14ac:dyDescent="0.25">
      <c r="A27" s="1">
        <v>26</v>
      </c>
      <c r="B27" s="2">
        <v>5</v>
      </c>
      <c r="C27" s="2">
        <v>4.09</v>
      </c>
      <c r="H27" t="b">
        <f t="shared" si="0"/>
        <v>0</v>
      </c>
      <c r="I27" s="10"/>
      <c r="J27" s="1">
        <v>27</v>
      </c>
      <c r="K27" s="2">
        <v>4.9000000000000004</v>
      </c>
      <c r="L27" s="2">
        <v>4.24</v>
      </c>
      <c r="P27" t="b">
        <f t="shared" si="1"/>
        <v>0</v>
      </c>
      <c r="Q27" t="b">
        <f t="shared" si="2"/>
        <v>0</v>
      </c>
      <c r="R27" t="b">
        <f t="shared" si="3"/>
        <v>0</v>
      </c>
    </row>
    <row r="28" spans="1:18" x14ac:dyDescent="0.25">
      <c r="A28" s="1">
        <v>27</v>
      </c>
      <c r="B28" s="2">
        <v>4.9000000000000004</v>
      </c>
      <c r="C28" s="2">
        <v>4.24</v>
      </c>
      <c r="H28" t="b">
        <f t="shared" si="0"/>
        <v>0</v>
      </c>
      <c r="I28" s="10"/>
      <c r="J28" s="1">
        <v>28</v>
      </c>
      <c r="K28" s="2">
        <v>6.55</v>
      </c>
      <c r="L28" s="2">
        <v>4.1500000000000004</v>
      </c>
      <c r="P28" t="b">
        <f t="shared" si="1"/>
        <v>0</v>
      </c>
      <c r="Q28" t="b">
        <f t="shared" si="2"/>
        <v>0</v>
      </c>
      <c r="R28" t="b">
        <f t="shared" si="3"/>
        <v>0</v>
      </c>
    </row>
    <row r="29" spans="1:18" x14ac:dyDescent="0.25">
      <c r="A29" s="1">
        <v>28</v>
      </c>
      <c r="B29" s="2">
        <v>6.55</v>
      </c>
      <c r="C29" s="2">
        <v>4.1500000000000004</v>
      </c>
      <c r="H29" t="b">
        <f t="shared" si="0"/>
        <v>0</v>
      </c>
      <c r="I29" s="10"/>
      <c r="J29" s="1">
        <v>29</v>
      </c>
      <c r="K29" s="2">
        <v>5</v>
      </c>
      <c r="L29" s="2">
        <v>4.12</v>
      </c>
      <c r="P29" t="b">
        <f t="shared" si="1"/>
        <v>0</v>
      </c>
      <c r="Q29" t="b">
        <f t="shared" si="2"/>
        <v>0</v>
      </c>
      <c r="R29" t="b">
        <f t="shared" si="3"/>
        <v>0</v>
      </c>
    </row>
    <row r="30" spans="1:18" x14ac:dyDescent="0.25">
      <c r="A30" s="1">
        <v>29</v>
      </c>
      <c r="B30" s="2">
        <v>5</v>
      </c>
      <c r="C30" s="2">
        <v>4.12</v>
      </c>
      <c r="H30" t="b">
        <f t="shared" si="0"/>
        <v>0</v>
      </c>
      <c r="I30" s="10"/>
      <c r="J30" s="1">
        <v>30</v>
      </c>
      <c r="K30" s="2">
        <v>3.45</v>
      </c>
      <c r="L30" s="2">
        <v>7.67</v>
      </c>
      <c r="P30" t="b">
        <f t="shared" si="1"/>
        <v>0</v>
      </c>
      <c r="Q30" t="b">
        <f t="shared" si="2"/>
        <v>0</v>
      </c>
      <c r="R30" t="b">
        <f t="shared" si="3"/>
        <v>0</v>
      </c>
    </row>
    <row r="31" spans="1:18" x14ac:dyDescent="0.25">
      <c r="A31" s="1">
        <v>30</v>
      </c>
      <c r="B31" s="2">
        <v>3.45</v>
      </c>
      <c r="C31" s="2">
        <v>7.67</v>
      </c>
      <c r="H31" t="b">
        <f t="shared" si="0"/>
        <v>0</v>
      </c>
      <c r="I31" s="1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I1" workbookViewId="0">
      <selection activeCell="U7" sqref="U7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2.42578125" customWidth="1"/>
    <col min="8" max="8" width="10.42578125" customWidth="1"/>
    <col min="9" max="9" width="2.7109375" customWidth="1"/>
    <col min="10" max="10" width="10.5703125" customWidth="1"/>
    <col min="13" max="13" width="2.85546875" customWidth="1"/>
    <col min="14" max="14" width="14.140625" customWidth="1"/>
    <col min="16" max="16" width="11.5703125" customWidth="1"/>
  </cols>
  <sheetData>
    <row r="1" spans="1:22" x14ac:dyDescent="0.25">
      <c r="A1" s="1" t="s">
        <v>18</v>
      </c>
      <c r="B1" s="1" t="s">
        <v>19</v>
      </c>
      <c r="C1" s="1" t="s">
        <v>20</v>
      </c>
      <c r="D1" s="1"/>
      <c r="E1" s="6" t="s">
        <v>25</v>
      </c>
      <c r="F1" s="7">
        <f>AVERAGE(C2:C26)</f>
        <v>0.24040000000000006</v>
      </c>
      <c r="H1" t="s">
        <v>32</v>
      </c>
      <c r="I1" s="10"/>
      <c r="J1" s="1" t="s">
        <v>18</v>
      </c>
      <c r="K1" s="1" t="s">
        <v>19</v>
      </c>
      <c r="L1" s="1" t="s">
        <v>20</v>
      </c>
      <c r="M1" s="1"/>
      <c r="N1" s="11" t="s">
        <v>25</v>
      </c>
      <c r="O1" s="12">
        <f>AVERAGE(L2:L25)</f>
        <v>0.22666666666666671</v>
      </c>
      <c r="P1" t="s">
        <v>32</v>
      </c>
      <c r="Q1" t="s">
        <v>19</v>
      </c>
      <c r="R1" t="s">
        <v>34</v>
      </c>
      <c r="T1" s="28" t="s">
        <v>35</v>
      </c>
      <c r="U1" s="33">
        <f>SQRT(4)*(O8-10.1)/O2</f>
        <v>-4.7713455882353033</v>
      </c>
      <c r="V1" s="29">
        <f>_xlfn.NORM.DIST(U1,0,1,TRUE)</f>
        <v>9.149962192672143E-7</v>
      </c>
    </row>
    <row r="2" spans="1:22" x14ac:dyDescent="0.25">
      <c r="A2" s="1">
        <v>1</v>
      </c>
      <c r="B2" s="2">
        <v>9.9700000000000006</v>
      </c>
      <c r="C2" s="2">
        <v>0.24</v>
      </c>
      <c r="E2" s="6" t="s">
        <v>21</v>
      </c>
      <c r="F2" s="7">
        <f>F1/2.059</f>
        <v>0.11675570665371542</v>
      </c>
      <c r="H2" t="b">
        <f>C2 &gt; $F$5</f>
        <v>0</v>
      </c>
      <c r="I2" s="10"/>
      <c r="J2" s="1">
        <v>1</v>
      </c>
      <c r="K2" s="2">
        <v>9.9700000000000006</v>
      </c>
      <c r="L2" s="2">
        <v>0.24</v>
      </c>
      <c r="N2" s="11" t="s">
        <v>21</v>
      </c>
      <c r="O2" s="12">
        <f>O1/2.059</f>
        <v>0.11008580216933787</v>
      </c>
      <c r="P2" t="b">
        <f>L2 &gt; $O$5</f>
        <v>0</v>
      </c>
      <c r="Q2" t="b">
        <f>K2 &lt; $O$8</f>
        <v>0</v>
      </c>
      <c r="R2" t="b">
        <f>K2 &gt; $O$10</f>
        <v>0</v>
      </c>
      <c r="T2" s="28" t="s">
        <v>36</v>
      </c>
      <c r="U2" s="33">
        <f>SQRT(4)*(O10-10.1)/O2</f>
        <v>1.2286544117647102</v>
      </c>
      <c r="V2" s="29">
        <f>1-_xlfn.NORM.DIST(U2,0,1,TRUE)</f>
        <v>0.10960070273164202</v>
      </c>
    </row>
    <row r="3" spans="1:22" x14ac:dyDescent="0.25">
      <c r="A3" s="1">
        <v>2</v>
      </c>
      <c r="B3" s="2">
        <v>10</v>
      </c>
      <c r="C3" s="2">
        <v>0.28000000000000003</v>
      </c>
      <c r="E3" s="6" t="s">
        <v>22</v>
      </c>
      <c r="F3" s="7">
        <f>MAX((2.059-3*0.88)*F2,0)</f>
        <v>0</v>
      </c>
      <c r="H3" t="b">
        <f t="shared" ref="H3:H26" si="0">C3 &gt; $F$5</f>
        <v>0</v>
      </c>
      <c r="I3" s="10"/>
      <c r="J3" s="1">
        <v>2</v>
      </c>
      <c r="K3" s="2">
        <v>10</v>
      </c>
      <c r="L3" s="2">
        <v>0.28000000000000003</v>
      </c>
      <c r="N3" s="11" t="s">
        <v>22</v>
      </c>
      <c r="O3" s="12">
        <f>MAX((2.059-3*0.88)*O2,0)</f>
        <v>0</v>
      </c>
      <c r="P3" t="b">
        <f t="shared" ref="P3:P25" si="1">L3 &gt; $O$5</f>
        <v>0</v>
      </c>
      <c r="Q3" t="b">
        <f t="shared" ref="Q3:Q25" si="2">K3 &lt; $O$8</f>
        <v>0</v>
      </c>
      <c r="R3" t="b">
        <f t="shared" ref="R3:R25" si="3">K3 &gt; $O$10</f>
        <v>0</v>
      </c>
    </row>
    <row r="4" spans="1:22" x14ac:dyDescent="0.25">
      <c r="A4" s="1">
        <v>3</v>
      </c>
      <c r="B4" s="2">
        <v>10</v>
      </c>
      <c r="C4" s="2">
        <v>0.3</v>
      </c>
      <c r="E4" s="6" t="s">
        <v>24</v>
      </c>
      <c r="F4" s="7">
        <f>F1</f>
        <v>0.24040000000000006</v>
      </c>
      <c r="H4" t="b">
        <f t="shared" si="0"/>
        <v>0</v>
      </c>
      <c r="I4" s="10"/>
      <c r="J4" s="1">
        <v>3</v>
      </c>
      <c r="K4" s="2">
        <v>10</v>
      </c>
      <c r="L4" s="2">
        <v>0.3</v>
      </c>
      <c r="N4" s="11" t="s">
        <v>24</v>
      </c>
      <c r="O4" s="15">
        <f>O1</f>
        <v>0.22666666666666671</v>
      </c>
      <c r="P4" t="b">
        <f t="shared" si="1"/>
        <v>0</v>
      </c>
      <c r="Q4" t="b">
        <f t="shared" si="2"/>
        <v>0</v>
      </c>
      <c r="R4" t="b">
        <f t="shared" si="3"/>
        <v>0</v>
      </c>
      <c r="T4" s="27" t="s">
        <v>42</v>
      </c>
      <c r="U4" s="34">
        <f>V1+V2</f>
        <v>0.10960161772786128</v>
      </c>
      <c r="V4" s="27">
        <f>1/U4</f>
        <v>9.1239529190434112</v>
      </c>
    </row>
    <row r="5" spans="1:22" x14ac:dyDescent="0.25">
      <c r="A5" s="1">
        <v>4</v>
      </c>
      <c r="B5" s="2">
        <v>10</v>
      </c>
      <c r="C5" s="2">
        <v>0.27</v>
      </c>
      <c r="E5" s="6" t="s">
        <v>23</v>
      </c>
      <c r="F5" s="7">
        <f>(2.059+3*0.88)*F2</f>
        <v>0.54863506556580877</v>
      </c>
      <c r="H5" t="b">
        <f t="shared" si="0"/>
        <v>0</v>
      </c>
      <c r="I5" s="10"/>
      <c r="J5" s="1">
        <v>4</v>
      </c>
      <c r="K5" s="2">
        <v>10</v>
      </c>
      <c r="L5" s="2">
        <v>0.27</v>
      </c>
      <c r="N5" s="11" t="s">
        <v>23</v>
      </c>
      <c r="O5" s="15">
        <f>(2.059+3*0.88)*O2</f>
        <v>0.51729318439371863</v>
      </c>
      <c r="P5" t="b">
        <f t="shared" si="1"/>
        <v>0</v>
      </c>
      <c r="Q5" t="b">
        <f t="shared" si="2"/>
        <v>0</v>
      </c>
      <c r="R5" t="b">
        <f t="shared" si="3"/>
        <v>0</v>
      </c>
      <c r="T5" s="35" t="s">
        <v>43</v>
      </c>
      <c r="U5" s="36">
        <f>O5/(2*O2)</f>
        <v>2.3494999999999999</v>
      </c>
      <c r="V5" s="35">
        <f>1-0.6559</f>
        <v>0.34409999999999996</v>
      </c>
    </row>
    <row r="6" spans="1:22" x14ac:dyDescent="0.25">
      <c r="A6" s="1">
        <v>5</v>
      </c>
      <c r="B6" s="2">
        <v>10</v>
      </c>
      <c r="C6" s="2">
        <v>0.2</v>
      </c>
      <c r="H6" t="b">
        <f t="shared" si="0"/>
        <v>0</v>
      </c>
      <c r="I6" s="10"/>
      <c r="J6" s="1">
        <v>5</v>
      </c>
      <c r="K6" s="2">
        <v>10</v>
      </c>
      <c r="L6" s="2">
        <v>0.2</v>
      </c>
      <c r="N6" s="13"/>
      <c r="O6" s="13"/>
      <c r="P6" t="b">
        <f t="shared" si="1"/>
        <v>0</v>
      </c>
      <c r="Q6" t="b">
        <f t="shared" si="2"/>
        <v>0</v>
      </c>
      <c r="R6" t="b">
        <f t="shared" si="3"/>
        <v>0</v>
      </c>
      <c r="T6" s="1" t="s">
        <v>44</v>
      </c>
      <c r="U6" t="s">
        <v>48</v>
      </c>
    </row>
    <row r="7" spans="1:22" x14ac:dyDescent="0.25">
      <c r="A7" s="1">
        <v>6</v>
      </c>
      <c r="B7" s="2">
        <v>10.1</v>
      </c>
      <c r="C7" s="2">
        <v>0.3</v>
      </c>
      <c r="E7" s="6"/>
      <c r="F7" s="7"/>
      <c r="H7" t="b">
        <f t="shared" si="0"/>
        <v>0</v>
      </c>
      <c r="I7" s="10"/>
      <c r="J7" s="1">
        <v>6</v>
      </c>
      <c r="K7" s="2">
        <v>10.1</v>
      </c>
      <c r="L7" s="2">
        <v>0.3</v>
      </c>
      <c r="N7" s="11" t="s">
        <v>29</v>
      </c>
      <c r="O7" s="15">
        <f>AVERAGE(K2:K25)</f>
        <v>10.0025</v>
      </c>
      <c r="P7" t="b">
        <f t="shared" si="1"/>
        <v>0</v>
      </c>
      <c r="Q7" t="b">
        <f t="shared" si="2"/>
        <v>0</v>
      </c>
      <c r="R7" t="b">
        <f t="shared" si="3"/>
        <v>0</v>
      </c>
    </row>
    <row r="8" spans="1:22" x14ac:dyDescent="0.25">
      <c r="A8" s="1">
        <v>7</v>
      </c>
      <c r="B8" s="2">
        <v>10.15</v>
      </c>
      <c r="C8" s="2">
        <v>0.12</v>
      </c>
      <c r="E8" s="6" t="s">
        <v>29</v>
      </c>
      <c r="F8" s="7">
        <f>AVERAGE(B2:B26)</f>
        <v>10.0024</v>
      </c>
      <c r="H8" t="b">
        <f t="shared" si="0"/>
        <v>0</v>
      </c>
      <c r="I8" s="10"/>
      <c r="J8" s="1">
        <v>7</v>
      </c>
      <c r="K8" s="2">
        <v>10.15</v>
      </c>
      <c r="L8" s="2">
        <v>0.12</v>
      </c>
      <c r="N8" s="11" t="s">
        <v>28</v>
      </c>
      <c r="O8" s="15">
        <f>O7-3*O2/SQRT(4)</f>
        <v>9.8373712967459923</v>
      </c>
      <c r="P8" t="b">
        <f t="shared" si="1"/>
        <v>0</v>
      </c>
      <c r="Q8" t="b">
        <f t="shared" si="2"/>
        <v>0</v>
      </c>
      <c r="R8" t="b">
        <f t="shared" si="3"/>
        <v>0</v>
      </c>
    </row>
    <row r="9" spans="1:22" x14ac:dyDescent="0.25">
      <c r="A9" s="1">
        <v>8</v>
      </c>
      <c r="B9" s="2">
        <v>9.94</v>
      </c>
      <c r="C9" s="2">
        <v>0.24</v>
      </c>
      <c r="E9" s="6"/>
      <c r="F9" s="7"/>
      <c r="H9" t="b">
        <f t="shared" si="0"/>
        <v>0</v>
      </c>
      <c r="I9" s="10"/>
      <c r="J9" s="1">
        <v>8</v>
      </c>
      <c r="K9" s="2">
        <v>9.94</v>
      </c>
      <c r="L9" s="2">
        <v>0.24</v>
      </c>
      <c r="N9" s="11" t="s">
        <v>27</v>
      </c>
      <c r="O9" s="15">
        <f>O7</f>
        <v>10.0025</v>
      </c>
      <c r="P9" t="b">
        <f t="shared" si="1"/>
        <v>0</v>
      </c>
      <c r="Q9" t="b">
        <f t="shared" si="2"/>
        <v>0</v>
      </c>
      <c r="R9" t="b">
        <f t="shared" si="3"/>
        <v>0</v>
      </c>
    </row>
    <row r="10" spans="1:22" x14ac:dyDescent="0.25">
      <c r="A10" s="30">
        <v>9</v>
      </c>
      <c r="B10" s="2">
        <v>10.02</v>
      </c>
      <c r="C10" s="2">
        <v>0.36</v>
      </c>
      <c r="E10" s="6"/>
      <c r="F10" s="7"/>
      <c r="H10" t="b">
        <f t="shared" si="0"/>
        <v>0</v>
      </c>
      <c r="I10" s="10"/>
      <c r="J10" s="30">
        <v>9</v>
      </c>
      <c r="K10" s="2">
        <v>10.02</v>
      </c>
      <c r="L10" s="2">
        <v>0.36</v>
      </c>
      <c r="N10" s="11" t="s">
        <v>26</v>
      </c>
      <c r="O10" s="15">
        <f>O7+3*O2/SQRT(4)</f>
        <v>10.167628703254007</v>
      </c>
      <c r="P10" t="b">
        <f t="shared" si="1"/>
        <v>0</v>
      </c>
      <c r="Q10" t="b">
        <f t="shared" si="2"/>
        <v>0</v>
      </c>
      <c r="R10" t="b">
        <f t="shared" si="3"/>
        <v>0</v>
      </c>
    </row>
    <row r="11" spans="1:22" x14ac:dyDescent="0.25">
      <c r="A11" s="1">
        <v>10</v>
      </c>
      <c r="B11" s="2">
        <v>10.050000000000001</v>
      </c>
      <c r="C11" s="2">
        <v>0.13</v>
      </c>
      <c r="H11" t="b">
        <f t="shared" si="0"/>
        <v>0</v>
      </c>
      <c r="I11" s="10"/>
      <c r="J11" s="1">
        <v>10</v>
      </c>
      <c r="K11" s="2">
        <v>10.050000000000001</v>
      </c>
      <c r="L11" s="2">
        <v>0.13</v>
      </c>
      <c r="P11" t="b">
        <f t="shared" si="1"/>
        <v>0</v>
      </c>
      <c r="Q11" t="b">
        <f t="shared" si="2"/>
        <v>0</v>
      </c>
      <c r="R11" t="b">
        <f t="shared" si="3"/>
        <v>0</v>
      </c>
      <c r="U11" s="18"/>
    </row>
    <row r="12" spans="1:22" x14ac:dyDescent="0.25">
      <c r="A12" s="1">
        <v>11</v>
      </c>
      <c r="B12" s="2">
        <v>9.93</v>
      </c>
      <c r="C12" s="2">
        <v>0.33</v>
      </c>
      <c r="H12" t="b">
        <f t="shared" si="0"/>
        <v>0</v>
      </c>
      <c r="I12" s="10"/>
      <c r="J12" s="1">
        <v>11</v>
      </c>
      <c r="K12" s="2">
        <v>9.93</v>
      </c>
      <c r="L12" s="2">
        <v>0.33</v>
      </c>
      <c r="N12" s="6"/>
      <c r="O12" s="7"/>
      <c r="P12" t="b">
        <f t="shared" si="1"/>
        <v>0</v>
      </c>
      <c r="Q12" t="b">
        <f t="shared" si="2"/>
        <v>0</v>
      </c>
      <c r="R12" t="b">
        <f t="shared" si="3"/>
        <v>0</v>
      </c>
    </row>
    <row r="13" spans="1:22" x14ac:dyDescent="0.25">
      <c r="A13" s="1">
        <v>12</v>
      </c>
      <c r="B13" s="2">
        <v>10</v>
      </c>
      <c r="C13" s="2">
        <v>0.26</v>
      </c>
      <c r="H13" t="b">
        <f t="shared" si="0"/>
        <v>0</v>
      </c>
      <c r="I13" s="10"/>
      <c r="J13" s="1">
        <v>12</v>
      </c>
      <c r="K13" s="2">
        <v>10</v>
      </c>
      <c r="L13" s="2">
        <v>0.26</v>
      </c>
      <c r="N13" s="6"/>
      <c r="O13" s="7"/>
      <c r="P13" t="b">
        <f t="shared" si="1"/>
        <v>0</v>
      </c>
      <c r="Q13" t="b">
        <f t="shared" si="2"/>
        <v>0</v>
      </c>
      <c r="R13" t="b">
        <f t="shared" si="3"/>
        <v>0</v>
      </c>
    </row>
    <row r="14" spans="1:22" x14ac:dyDescent="0.25">
      <c r="A14" s="1">
        <v>13</v>
      </c>
      <c r="B14" s="2">
        <v>9.98</v>
      </c>
      <c r="C14" s="2">
        <v>0.2</v>
      </c>
      <c r="H14" t="b">
        <f t="shared" si="0"/>
        <v>0</v>
      </c>
      <c r="I14" s="10"/>
      <c r="J14" s="1">
        <v>13</v>
      </c>
      <c r="K14" s="2">
        <v>9.98</v>
      </c>
      <c r="L14" s="2">
        <v>0.2</v>
      </c>
      <c r="N14" s="6"/>
      <c r="O14" s="7"/>
      <c r="P14" t="b">
        <f t="shared" si="1"/>
        <v>0</v>
      </c>
      <c r="Q14" t="b">
        <f t="shared" si="2"/>
        <v>0</v>
      </c>
      <c r="R14" t="b">
        <f t="shared" si="3"/>
        <v>0</v>
      </c>
    </row>
    <row r="15" spans="1:22" x14ac:dyDescent="0.25">
      <c r="A15" s="1">
        <v>14</v>
      </c>
      <c r="B15" s="2">
        <v>10.050000000000001</v>
      </c>
      <c r="C15" s="2">
        <v>0.12</v>
      </c>
      <c r="H15" t="b">
        <f t="shared" si="0"/>
        <v>0</v>
      </c>
      <c r="I15" s="10"/>
      <c r="J15" s="1">
        <v>14</v>
      </c>
      <c r="K15" s="2">
        <v>10.050000000000001</v>
      </c>
      <c r="L15" s="2">
        <v>0.12</v>
      </c>
      <c r="N15" s="6"/>
      <c r="O15" s="7"/>
      <c r="P15" t="b">
        <f t="shared" si="1"/>
        <v>0</v>
      </c>
      <c r="Q15" t="b">
        <f t="shared" si="2"/>
        <v>0</v>
      </c>
      <c r="R15" t="b">
        <f t="shared" si="3"/>
        <v>0</v>
      </c>
    </row>
    <row r="16" spans="1:22" x14ac:dyDescent="0.25">
      <c r="A16" s="1">
        <v>15</v>
      </c>
      <c r="B16" s="2">
        <v>9.9700000000000006</v>
      </c>
      <c r="C16" s="2">
        <v>0.15</v>
      </c>
      <c r="H16" t="b">
        <f t="shared" si="0"/>
        <v>0</v>
      </c>
      <c r="I16" s="10"/>
      <c r="J16" s="1">
        <v>15</v>
      </c>
      <c r="K16" s="2">
        <v>9.9700000000000006</v>
      </c>
      <c r="L16" s="2">
        <v>0.15</v>
      </c>
      <c r="P16" t="b">
        <f t="shared" si="1"/>
        <v>0</v>
      </c>
      <c r="Q16" t="b">
        <f t="shared" si="2"/>
        <v>0</v>
      </c>
      <c r="R16" t="b">
        <f t="shared" si="3"/>
        <v>0</v>
      </c>
    </row>
    <row r="17" spans="1:18" x14ac:dyDescent="0.25">
      <c r="A17" s="1">
        <v>16</v>
      </c>
      <c r="B17" s="2">
        <v>10</v>
      </c>
      <c r="C17" s="7">
        <v>0.56999999999999995</v>
      </c>
      <c r="H17" s="8" t="b">
        <f t="shared" si="0"/>
        <v>1</v>
      </c>
      <c r="I17" s="10"/>
      <c r="J17" s="1">
        <v>17</v>
      </c>
      <c r="K17" s="2">
        <v>10.01</v>
      </c>
      <c r="L17" s="2">
        <v>0.21</v>
      </c>
      <c r="P17" t="b">
        <f t="shared" si="1"/>
        <v>0</v>
      </c>
      <c r="Q17" t="b">
        <f t="shared" si="2"/>
        <v>0</v>
      </c>
      <c r="R17" t="b">
        <f t="shared" si="3"/>
        <v>0</v>
      </c>
    </row>
    <row r="18" spans="1:18" x14ac:dyDescent="0.25">
      <c r="A18" s="1">
        <v>17</v>
      </c>
      <c r="B18" s="2">
        <v>10.01</v>
      </c>
      <c r="C18" s="2">
        <v>0.21</v>
      </c>
      <c r="H18" t="b">
        <f t="shared" si="0"/>
        <v>0</v>
      </c>
      <c r="I18" s="10"/>
      <c r="J18" s="1">
        <v>18</v>
      </c>
      <c r="K18" s="2">
        <v>10.02</v>
      </c>
      <c r="L18" s="2">
        <v>0.15</v>
      </c>
      <c r="P18" t="b">
        <f t="shared" si="1"/>
        <v>0</v>
      </c>
      <c r="Q18" t="b">
        <f t="shared" si="2"/>
        <v>0</v>
      </c>
      <c r="R18" t="b">
        <f t="shared" si="3"/>
        <v>0</v>
      </c>
    </row>
    <row r="19" spans="1:18" x14ac:dyDescent="0.25">
      <c r="A19" s="1">
        <v>18</v>
      </c>
      <c r="B19" s="2">
        <v>10.02</v>
      </c>
      <c r="C19" s="2">
        <v>0.15</v>
      </c>
      <c r="H19" t="b">
        <f t="shared" si="0"/>
        <v>0</v>
      </c>
      <c r="I19" s="10"/>
      <c r="J19" s="1">
        <v>19</v>
      </c>
      <c r="K19" s="2">
        <v>9.94</v>
      </c>
      <c r="L19" s="2">
        <v>0.24</v>
      </c>
      <c r="P19" t="b">
        <f t="shared" si="1"/>
        <v>0</v>
      </c>
      <c r="Q19" t="b">
        <f t="shared" si="2"/>
        <v>0</v>
      </c>
      <c r="R19" t="b">
        <f t="shared" si="3"/>
        <v>0</v>
      </c>
    </row>
    <row r="20" spans="1:18" x14ac:dyDescent="0.25">
      <c r="A20" s="1">
        <v>19</v>
      </c>
      <c r="B20" s="2">
        <v>9.94</v>
      </c>
      <c r="C20" s="2">
        <v>0.24</v>
      </c>
      <c r="H20" t="b">
        <f t="shared" si="0"/>
        <v>0</v>
      </c>
      <c r="I20" s="10"/>
      <c r="J20" s="1">
        <v>20</v>
      </c>
      <c r="K20" s="2">
        <v>10.01</v>
      </c>
      <c r="L20" s="2">
        <v>0.26</v>
      </c>
      <c r="P20" t="b">
        <f t="shared" si="1"/>
        <v>0</v>
      </c>
      <c r="Q20" t="b">
        <f t="shared" si="2"/>
        <v>0</v>
      </c>
      <c r="R20" t="b">
        <f t="shared" si="3"/>
        <v>0</v>
      </c>
    </row>
    <row r="21" spans="1:18" x14ac:dyDescent="0.25">
      <c r="A21" s="1">
        <v>20</v>
      </c>
      <c r="B21" s="2">
        <v>10.01</v>
      </c>
      <c r="C21" s="2">
        <v>0.26</v>
      </c>
      <c r="H21" t="b">
        <f t="shared" si="0"/>
        <v>0</v>
      </c>
      <c r="I21" s="10"/>
      <c r="J21" s="1">
        <v>21</v>
      </c>
      <c r="K21" s="2">
        <v>10</v>
      </c>
      <c r="L21" s="2">
        <v>0.27</v>
      </c>
      <c r="P21" t="b">
        <f t="shared" si="1"/>
        <v>0</v>
      </c>
      <c r="Q21" t="b">
        <f t="shared" si="2"/>
        <v>0</v>
      </c>
      <c r="R21" t="b">
        <f t="shared" si="3"/>
        <v>0</v>
      </c>
    </row>
    <row r="22" spans="1:18" x14ac:dyDescent="0.25">
      <c r="A22" s="1">
        <v>21</v>
      </c>
      <c r="B22" s="2">
        <v>10</v>
      </c>
      <c r="C22" s="2">
        <v>0.27</v>
      </c>
      <c r="H22" t="b">
        <f t="shared" si="0"/>
        <v>0</v>
      </c>
      <c r="I22" s="10"/>
      <c r="J22" s="1">
        <v>22</v>
      </c>
      <c r="K22" s="2">
        <v>10.050000000000001</v>
      </c>
      <c r="L22" s="2">
        <v>0.19</v>
      </c>
      <c r="P22" t="b">
        <f t="shared" si="1"/>
        <v>0</v>
      </c>
      <c r="Q22" t="b">
        <f t="shared" si="2"/>
        <v>0</v>
      </c>
      <c r="R22" t="b">
        <f t="shared" si="3"/>
        <v>0</v>
      </c>
    </row>
    <row r="23" spans="1:18" x14ac:dyDescent="0.25">
      <c r="A23" s="1">
        <v>22</v>
      </c>
      <c r="B23" s="2">
        <v>10.050000000000001</v>
      </c>
      <c r="C23" s="2">
        <v>0.19</v>
      </c>
      <c r="H23" t="b">
        <f t="shared" si="0"/>
        <v>0</v>
      </c>
      <c r="I23" s="10"/>
      <c r="J23" s="1">
        <v>23</v>
      </c>
      <c r="K23" s="2">
        <v>9.9600000000000009</v>
      </c>
      <c r="L23" s="2">
        <v>0.08</v>
      </c>
      <c r="P23" t="b">
        <f t="shared" si="1"/>
        <v>0</v>
      </c>
      <c r="Q23" t="b">
        <f t="shared" si="2"/>
        <v>0</v>
      </c>
      <c r="R23" t="b">
        <f t="shared" si="3"/>
        <v>0</v>
      </c>
    </row>
    <row r="24" spans="1:18" x14ac:dyDescent="0.25">
      <c r="A24" s="1">
        <v>23</v>
      </c>
      <c r="B24" s="2">
        <v>9.9600000000000009</v>
      </c>
      <c r="C24" s="2">
        <v>0.08</v>
      </c>
      <c r="H24" t="b">
        <f t="shared" si="0"/>
        <v>0</v>
      </c>
      <c r="I24" s="10"/>
      <c r="J24" s="1">
        <v>24</v>
      </c>
      <c r="K24" s="2">
        <v>9.9700000000000006</v>
      </c>
      <c r="L24" s="2">
        <v>0.1</v>
      </c>
      <c r="P24" t="b">
        <f t="shared" si="1"/>
        <v>0</v>
      </c>
      <c r="Q24" t="b">
        <f t="shared" si="2"/>
        <v>0</v>
      </c>
      <c r="R24" t="b">
        <f t="shared" si="3"/>
        <v>0</v>
      </c>
    </row>
    <row r="25" spans="1:18" x14ac:dyDescent="0.25">
      <c r="A25" s="1">
        <v>24</v>
      </c>
      <c r="B25" s="2">
        <v>9.9700000000000006</v>
      </c>
      <c r="C25" s="2">
        <v>0.1</v>
      </c>
      <c r="H25" t="b">
        <f t="shared" si="0"/>
        <v>0</v>
      </c>
      <c r="I25" s="10"/>
      <c r="J25" s="1">
        <v>25</v>
      </c>
      <c r="K25" s="2">
        <v>9.94</v>
      </c>
      <c r="L25" s="2">
        <v>0.44</v>
      </c>
      <c r="P25" t="b">
        <f t="shared" si="1"/>
        <v>0</v>
      </c>
      <c r="Q25" t="b">
        <f t="shared" si="2"/>
        <v>0</v>
      </c>
      <c r="R25" t="b">
        <f t="shared" si="3"/>
        <v>0</v>
      </c>
    </row>
    <row r="26" spans="1:18" x14ac:dyDescent="0.25">
      <c r="A26" s="1">
        <v>25</v>
      </c>
      <c r="B26" s="2">
        <v>9.94</v>
      </c>
      <c r="C26" s="2">
        <v>0.44</v>
      </c>
      <c r="H26" t="b">
        <f t="shared" si="0"/>
        <v>0</v>
      </c>
      <c r="I26" s="10"/>
    </row>
    <row r="27" spans="1:18" x14ac:dyDescent="0.25">
      <c r="B27" s="2"/>
      <c r="C27" s="2"/>
      <c r="I27" s="32"/>
      <c r="J27" s="1"/>
      <c r="K27" s="2"/>
      <c r="L27" s="2"/>
    </row>
    <row r="28" spans="1:18" x14ac:dyDescent="0.25">
      <c r="B28" s="2"/>
      <c r="C28" s="2"/>
      <c r="I28" s="32"/>
      <c r="J28" s="1"/>
      <c r="K28" s="2"/>
      <c r="L28" s="2"/>
    </row>
    <row r="29" spans="1:18" x14ac:dyDescent="0.25">
      <c r="B29" s="2"/>
      <c r="C29" s="2"/>
      <c r="I29" s="32"/>
      <c r="J29" s="1"/>
      <c r="K29" s="2"/>
      <c r="L29" s="2"/>
    </row>
    <row r="30" spans="1:18" x14ac:dyDescent="0.25">
      <c r="B30" s="2"/>
      <c r="C30" s="2"/>
      <c r="I30" s="32"/>
      <c r="J30" s="1"/>
      <c r="K30" s="2"/>
      <c r="L30" s="2"/>
    </row>
    <row r="31" spans="1:18" x14ac:dyDescent="0.25">
      <c r="B31" s="2"/>
      <c r="C31" s="2"/>
      <c r="I31" s="32"/>
    </row>
    <row r="32" spans="1:18" x14ac:dyDescent="0.25">
      <c r="I32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opLeftCell="Q1" workbookViewId="0">
      <selection activeCell="AA1" sqref="AA1:AE4"/>
    </sheetView>
  </sheetViews>
  <sheetFormatPr defaultRowHeight="15" x14ac:dyDescent="0.25"/>
  <cols>
    <col min="1" max="1" width="14.5703125" style="1" customWidth="1"/>
    <col min="2" max="5" width="14.5703125" style="2" customWidth="1"/>
    <col min="6" max="6" width="14.5703125" style="1" customWidth="1"/>
    <col min="7" max="7" width="2" customWidth="1"/>
    <col min="8" max="8" width="15.140625" customWidth="1"/>
    <col min="10" max="10" width="2.42578125" customWidth="1"/>
    <col min="11" max="11" width="10.42578125" customWidth="1"/>
    <col min="12" max="12" width="2.7109375" customWidth="1"/>
    <col min="13" max="13" width="14.140625" customWidth="1"/>
    <col min="14" max="14" width="18.42578125" customWidth="1"/>
    <col min="17" max="17" width="3" customWidth="1"/>
    <col min="18" max="18" width="10.7109375" customWidth="1"/>
    <col min="24" max="24" width="13.7109375" customWidth="1"/>
    <col min="29" max="29" width="9.5703125" bestFit="1" customWidth="1"/>
  </cols>
  <sheetData>
    <row r="1" spans="1:34" x14ac:dyDescent="0.25">
      <c r="A1" s="1" t="s">
        <v>18</v>
      </c>
      <c r="B1" s="2" t="s">
        <v>45</v>
      </c>
      <c r="C1" s="2" t="s">
        <v>46</v>
      </c>
      <c r="D1" s="2" t="s">
        <v>47</v>
      </c>
      <c r="E1" s="2" t="s">
        <v>19</v>
      </c>
      <c r="F1" s="1" t="s">
        <v>20</v>
      </c>
      <c r="G1" s="1"/>
      <c r="H1" s="37" t="s">
        <v>25</v>
      </c>
      <c r="I1" s="38">
        <f>AVERAGE(F2:F31)</f>
        <v>1.6280000000000001</v>
      </c>
      <c r="K1" t="s">
        <v>32</v>
      </c>
      <c r="L1" s="10"/>
      <c r="M1" s="6" t="s">
        <v>29</v>
      </c>
      <c r="N1" s="7">
        <f>AVERAGE(E2:E31)</f>
        <v>249.8808888888889</v>
      </c>
      <c r="O1" t="s">
        <v>19</v>
      </c>
      <c r="P1" t="s">
        <v>34</v>
      </c>
      <c r="Q1" s="10"/>
      <c r="R1" s="1" t="s">
        <v>18</v>
      </c>
      <c r="S1" s="2" t="s">
        <v>45</v>
      </c>
      <c r="T1" s="2" t="s">
        <v>46</v>
      </c>
      <c r="U1" s="2" t="s">
        <v>47</v>
      </c>
      <c r="V1" s="2" t="s">
        <v>19</v>
      </c>
      <c r="W1" s="1" t="s">
        <v>20</v>
      </c>
      <c r="X1" s="37" t="s">
        <v>29</v>
      </c>
      <c r="Y1" s="38">
        <f>AVERAGE(V2:V30)</f>
        <v>249.81160919540233</v>
      </c>
      <c r="Z1" s="1"/>
      <c r="AA1" s="28" t="s">
        <v>35</v>
      </c>
      <c r="AB1" s="33">
        <f>SQRT(3)*(Y2-250.8)/I2</f>
        <v>-4.7802946274974953</v>
      </c>
      <c r="AC1" s="29">
        <f>_xlfn.NORM.DIST(AB1,0,1,TRUE)</f>
        <v>8.7519242958340841E-7</v>
      </c>
      <c r="AF1" s="36" t="s">
        <v>35</v>
      </c>
      <c r="AG1" s="39">
        <f>SQRT(3)*(Y2-250.8)/1.5</f>
        <v>-3.0645086251490148</v>
      </c>
      <c r="AH1" s="39">
        <f>_xlfn.NORM.DIST(AG1,0,1,TRUE)</f>
        <v>1.0901394374821915E-3</v>
      </c>
    </row>
    <row r="2" spans="1:34" x14ac:dyDescent="0.25">
      <c r="A2" s="1">
        <v>1</v>
      </c>
      <c r="B2" s="2">
        <v>252.16</v>
      </c>
      <c r="C2" s="2">
        <v>250.34</v>
      </c>
      <c r="D2" s="2">
        <v>249.7</v>
      </c>
      <c r="E2" s="2">
        <f>AVERAGE(B2:D2)</f>
        <v>250.73333333333335</v>
      </c>
      <c r="F2" s="2">
        <f>MAX(B2:D2)-MIN(B2:D2)</f>
        <v>2.460000000000008</v>
      </c>
      <c r="H2" s="37" t="s">
        <v>21</v>
      </c>
      <c r="I2" s="38">
        <f>I1/1.693</f>
        <v>0.96160661547548731</v>
      </c>
      <c r="K2" t="b">
        <f>F2 &gt; $I$5</f>
        <v>0</v>
      </c>
      <c r="L2" s="10"/>
      <c r="M2" s="6" t="s">
        <v>28</v>
      </c>
      <c r="N2" s="7">
        <f>N1-3*I2/SQRT(3)</f>
        <v>248.21533737399102</v>
      </c>
      <c r="O2" t="b">
        <f>E2 &lt; $N$2</f>
        <v>0</v>
      </c>
      <c r="P2" t="b">
        <f>E2&gt; $N$4</f>
        <v>0</v>
      </c>
      <c r="Q2" s="10"/>
      <c r="R2" s="1">
        <v>1</v>
      </c>
      <c r="S2" s="2">
        <v>252.16</v>
      </c>
      <c r="T2" s="2">
        <v>250.34</v>
      </c>
      <c r="U2" s="2">
        <v>249.7</v>
      </c>
      <c r="V2" s="2">
        <f>AVERAGE(S2:U2)</f>
        <v>250.73333333333335</v>
      </c>
      <c r="W2" s="2">
        <f>MAX(S2:U2)-MIN(S2:U2)</f>
        <v>2.460000000000008</v>
      </c>
      <c r="X2" s="37" t="s">
        <v>28</v>
      </c>
      <c r="Y2" s="38">
        <f>Y1-3*I2/SQRT(3)</f>
        <v>248.14605768050444</v>
      </c>
      <c r="Z2" s="2"/>
      <c r="AA2" s="28" t="s">
        <v>36</v>
      </c>
      <c r="AB2" s="33">
        <f>SQRT(3)*(Y4-250.8)/I2</f>
        <v>1.2197053725024771</v>
      </c>
      <c r="AC2" s="29">
        <f>1-_xlfn.NORM.DIST(AB2,0,1,TRUE)</f>
        <v>0.11128829211112135</v>
      </c>
      <c r="AF2" s="36" t="s">
        <v>36</v>
      </c>
      <c r="AG2" s="39">
        <f>SQRT(3)*(Y4-250.8)/1.5</f>
        <v>0.78191783675291704</v>
      </c>
      <c r="AH2" s="39">
        <f>1-_xlfn.NORM.DIST(AG2,0,1,TRUE)</f>
        <v>0.21713143088647002</v>
      </c>
    </row>
    <row r="3" spans="1:34" x14ac:dyDescent="0.25">
      <c r="A3" s="1">
        <v>2</v>
      </c>
      <c r="B3" s="2">
        <v>248.34</v>
      </c>
      <c r="C3" s="2">
        <v>248.61</v>
      </c>
      <c r="D3" s="2">
        <v>250.63</v>
      </c>
      <c r="E3" s="2">
        <f t="shared" ref="E3:E16" si="0">AVERAGE(B3:D3)</f>
        <v>249.19333333333336</v>
      </c>
      <c r="F3" s="2">
        <f t="shared" ref="F3:F16" si="1">MAX(B3:D3)-MIN(B3:D3)</f>
        <v>2.289999999999992</v>
      </c>
      <c r="H3" s="37" t="s">
        <v>22</v>
      </c>
      <c r="I3" s="38">
        <f>MAX((1.693-3*0.888)*I2,0)</f>
        <v>0</v>
      </c>
      <c r="K3" t="b">
        <f t="shared" ref="K3:K31" si="2">F3 &gt; $I$5</f>
        <v>0</v>
      </c>
      <c r="L3" s="10"/>
      <c r="M3" s="6" t="s">
        <v>27</v>
      </c>
      <c r="N3" s="7">
        <f>N1</f>
        <v>249.8808888888889</v>
      </c>
      <c r="O3" t="b">
        <f t="shared" ref="O3:O31" si="3">E3 &lt; $N$2</f>
        <v>0</v>
      </c>
      <c r="P3" t="b">
        <f t="shared" ref="P3:P31" si="4">E3&gt; $N$4</f>
        <v>0</v>
      </c>
      <c r="Q3" s="10"/>
      <c r="R3" s="1">
        <v>2</v>
      </c>
      <c r="S3" s="2">
        <v>248.34</v>
      </c>
      <c r="T3" s="2">
        <v>248.61</v>
      </c>
      <c r="U3" s="2">
        <v>250.63</v>
      </c>
      <c r="V3" s="2">
        <f t="shared" ref="V3:V11" si="5">AVERAGE(S3:U3)</f>
        <v>249.19333333333336</v>
      </c>
      <c r="W3" s="2">
        <f t="shared" ref="W3:W11" si="6">MAX(S3:U3)-MIN(S3:U3)</f>
        <v>2.289999999999992</v>
      </c>
      <c r="X3" s="37" t="s">
        <v>27</v>
      </c>
      <c r="Y3" s="38">
        <f>Y1</f>
        <v>249.81160919540233</v>
      </c>
      <c r="Z3" s="2"/>
    </row>
    <row r="4" spans="1:34" x14ac:dyDescent="0.25">
      <c r="A4" s="1">
        <v>3</v>
      </c>
      <c r="B4" s="2">
        <v>249.19</v>
      </c>
      <c r="C4" s="2">
        <v>250.02</v>
      </c>
      <c r="D4" s="2">
        <v>250.84</v>
      </c>
      <c r="E4" s="2">
        <f t="shared" si="0"/>
        <v>250.01666666666668</v>
      </c>
      <c r="F4" s="2">
        <f t="shared" si="1"/>
        <v>1.6500000000000057</v>
      </c>
      <c r="H4" s="37" t="s">
        <v>24</v>
      </c>
      <c r="I4" s="38">
        <f>I1</f>
        <v>1.6280000000000001</v>
      </c>
      <c r="K4" t="b">
        <f t="shared" si="2"/>
        <v>0</v>
      </c>
      <c r="L4" s="10"/>
      <c r="M4" s="6" t="s">
        <v>26</v>
      </c>
      <c r="N4" s="7">
        <f>N1+3*I2/SQRT(3)</f>
        <v>251.54644040378679</v>
      </c>
      <c r="O4" t="b">
        <f t="shared" si="3"/>
        <v>0</v>
      </c>
      <c r="P4" t="b">
        <f t="shared" si="4"/>
        <v>0</v>
      </c>
      <c r="Q4" s="10"/>
      <c r="R4" s="1">
        <v>3</v>
      </c>
      <c r="S4" s="2">
        <v>249.19</v>
      </c>
      <c r="T4" s="2">
        <v>250.02</v>
      </c>
      <c r="U4" s="2">
        <v>250.84</v>
      </c>
      <c r="V4" s="2">
        <f t="shared" si="5"/>
        <v>250.01666666666668</v>
      </c>
      <c r="W4" s="2">
        <f t="shared" si="6"/>
        <v>1.6500000000000057</v>
      </c>
      <c r="X4" s="37" t="s">
        <v>26</v>
      </c>
      <c r="Y4" s="38">
        <f>Y1+3*I2/SQRT(3)</f>
        <v>251.47716071030021</v>
      </c>
      <c r="Z4" s="2"/>
      <c r="AA4" s="27" t="s">
        <v>42</v>
      </c>
      <c r="AB4" s="34">
        <f>AC1+AC2</f>
        <v>0.11128916730355093</v>
      </c>
      <c r="AC4" s="27">
        <f>1/AB4</f>
        <v>8.9856005236557532</v>
      </c>
      <c r="AD4" s="34">
        <f>I5/I2</f>
        <v>4.3570000000000002</v>
      </c>
      <c r="AE4" s="34">
        <f>(1-0.9941)</f>
        <v>5.9000000000000163E-3</v>
      </c>
    </row>
    <row r="5" spans="1:34" x14ac:dyDescent="0.25">
      <c r="A5" s="1">
        <v>4</v>
      </c>
      <c r="B5" s="2">
        <v>251.29</v>
      </c>
      <c r="C5" s="2">
        <v>249.93</v>
      </c>
      <c r="D5" s="2">
        <v>250.24</v>
      </c>
      <c r="E5" s="2">
        <f t="shared" si="0"/>
        <v>250.48666666666668</v>
      </c>
      <c r="F5" s="2">
        <f t="shared" si="1"/>
        <v>1.3599999999999852</v>
      </c>
      <c r="H5" s="37" t="s">
        <v>23</v>
      </c>
      <c r="I5" s="38">
        <f>(1.693+3*0.888)*I2</f>
        <v>4.1897200236266983</v>
      </c>
      <c r="K5" t="b">
        <f t="shared" si="2"/>
        <v>0</v>
      </c>
      <c r="L5" s="10"/>
      <c r="M5" s="11"/>
      <c r="N5" s="15"/>
      <c r="O5" t="b">
        <f t="shared" si="3"/>
        <v>0</v>
      </c>
      <c r="P5" t="b">
        <f t="shared" si="4"/>
        <v>0</v>
      </c>
      <c r="Q5" s="10"/>
      <c r="R5" s="1">
        <v>4</v>
      </c>
      <c r="S5" s="2">
        <v>251.29</v>
      </c>
      <c r="T5" s="2">
        <v>249.93</v>
      </c>
      <c r="U5" s="2">
        <v>250.24</v>
      </c>
      <c r="V5" s="2">
        <f t="shared" si="5"/>
        <v>250.48666666666668</v>
      </c>
      <c r="W5" s="2">
        <f t="shared" si="6"/>
        <v>1.3599999999999852</v>
      </c>
      <c r="X5" s="2"/>
      <c r="Y5" s="2"/>
      <c r="Z5" s="2"/>
      <c r="AA5" s="35" t="s">
        <v>43</v>
      </c>
      <c r="AB5" s="40">
        <f>AH1+AH2</f>
        <v>0.2182215703239522</v>
      </c>
      <c r="AC5" s="36">
        <f>I5/1.5</f>
        <v>2.7931466824177988</v>
      </c>
      <c r="AD5" s="36">
        <f>1-0.8828</f>
        <v>0.11719999999999997</v>
      </c>
      <c r="AE5" s="36">
        <f>AB5+AD5-AB5*AD5</f>
        <v>0.30984600228198494</v>
      </c>
    </row>
    <row r="6" spans="1:34" x14ac:dyDescent="0.25">
      <c r="A6" s="1">
        <v>5</v>
      </c>
      <c r="B6" s="2">
        <v>248.16</v>
      </c>
      <c r="C6" s="2">
        <v>250.41</v>
      </c>
      <c r="D6" s="2">
        <v>251.19</v>
      </c>
      <c r="E6" s="2">
        <f t="shared" si="0"/>
        <v>249.92</v>
      </c>
      <c r="F6" s="2">
        <f t="shared" si="1"/>
        <v>3.0300000000000011</v>
      </c>
      <c r="K6" t="b">
        <f t="shared" si="2"/>
        <v>0</v>
      </c>
      <c r="L6" s="10"/>
      <c r="M6" s="13"/>
      <c r="N6" s="13"/>
      <c r="O6" t="b">
        <f t="shared" si="3"/>
        <v>0</v>
      </c>
      <c r="P6" t="b">
        <f t="shared" si="4"/>
        <v>0</v>
      </c>
      <c r="Q6" s="10"/>
      <c r="R6" s="1">
        <v>5</v>
      </c>
      <c r="S6" s="2">
        <v>248.16</v>
      </c>
      <c r="T6" s="2">
        <v>250.41</v>
      </c>
      <c r="U6" s="2">
        <v>251.19</v>
      </c>
      <c r="V6" s="2">
        <f t="shared" si="5"/>
        <v>249.92</v>
      </c>
      <c r="W6" s="2">
        <f t="shared" si="6"/>
        <v>3.0300000000000011</v>
      </c>
      <c r="X6" s="2"/>
      <c r="Y6" s="2"/>
      <c r="Z6" s="2"/>
      <c r="AA6" s="1" t="s">
        <v>44</v>
      </c>
      <c r="AB6" t="s">
        <v>48</v>
      </c>
    </row>
    <row r="7" spans="1:34" x14ac:dyDescent="0.25">
      <c r="A7" s="1">
        <v>6</v>
      </c>
      <c r="B7" s="2">
        <v>250.37</v>
      </c>
      <c r="C7" s="2">
        <v>251.98</v>
      </c>
      <c r="D7" s="2">
        <v>248.44</v>
      </c>
      <c r="E7" s="2">
        <f t="shared" si="0"/>
        <v>250.26333333333332</v>
      </c>
      <c r="F7" s="2">
        <f t="shared" si="1"/>
        <v>3.539999999999992</v>
      </c>
      <c r="H7" s="6"/>
      <c r="I7" s="7"/>
      <c r="K7" t="b">
        <f t="shared" si="2"/>
        <v>0</v>
      </c>
      <c r="L7" s="10"/>
      <c r="O7" t="b">
        <f t="shared" si="3"/>
        <v>0</v>
      </c>
      <c r="P7" t="b">
        <f t="shared" si="4"/>
        <v>0</v>
      </c>
      <c r="Q7" s="10"/>
      <c r="R7" s="1">
        <v>6</v>
      </c>
      <c r="S7" s="2">
        <v>250.37</v>
      </c>
      <c r="T7" s="2">
        <v>251.98</v>
      </c>
      <c r="U7" s="2">
        <v>248.44</v>
      </c>
      <c r="V7" s="2">
        <f t="shared" si="5"/>
        <v>250.26333333333332</v>
      </c>
      <c r="W7" s="2">
        <f t="shared" si="6"/>
        <v>3.539999999999992</v>
      </c>
      <c r="X7" s="2"/>
      <c r="Y7" s="2"/>
      <c r="Z7" s="2"/>
    </row>
    <row r="8" spans="1:34" x14ac:dyDescent="0.25">
      <c r="A8" s="1">
        <v>7</v>
      </c>
      <c r="B8" s="2">
        <v>250.31</v>
      </c>
      <c r="C8" s="2">
        <v>248.71</v>
      </c>
      <c r="D8" s="2">
        <v>251.13</v>
      </c>
      <c r="E8" s="2">
        <f t="shared" si="0"/>
        <v>250.04999999999998</v>
      </c>
      <c r="F8" s="2">
        <f t="shared" si="1"/>
        <v>2.4199999999999875</v>
      </c>
      <c r="H8" s="6"/>
      <c r="I8" s="7"/>
      <c r="K8" t="b">
        <f t="shared" si="2"/>
        <v>0</v>
      </c>
      <c r="L8" s="10"/>
      <c r="O8" t="b">
        <f t="shared" si="3"/>
        <v>0</v>
      </c>
      <c r="P8" t="b">
        <f t="shared" si="4"/>
        <v>0</v>
      </c>
      <c r="Q8" s="10"/>
      <c r="R8" s="1">
        <v>7</v>
      </c>
      <c r="S8" s="2">
        <v>250.31</v>
      </c>
      <c r="T8" s="2">
        <v>248.71</v>
      </c>
      <c r="U8" s="2">
        <v>251.13</v>
      </c>
      <c r="V8" s="2">
        <f t="shared" si="5"/>
        <v>250.04999999999998</v>
      </c>
      <c r="W8" s="2">
        <f t="shared" si="6"/>
        <v>2.4199999999999875</v>
      </c>
      <c r="X8" s="2"/>
      <c r="Y8" s="2"/>
      <c r="Z8" s="2"/>
    </row>
    <row r="9" spans="1:34" x14ac:dyDescent="0.25">
      <c r="A9" s="1">
        <v>8</v>
      </c>
      <c r="B9" s="2">
        <v>250.27</v>
      </c>
      <c r="C9" s="2">
        <v>249.64</v>
      </c>
      <c r="D9" s="2">
        <v>249.92</v>
      </c>
      <c r="E9" s="2">
        <f t="shared" si="0"/>
        <v>249.9433333333333</v>
      </c>
      <c r="F9" s="2">
        <f t="shared" si="1"/>
        <v>0.63000000000002387</v>
      </c>
      <c r="H9" s="6"/>
      <c r="I9" s="7"/>
      <c r="K9" t="b">
        <f t="shared" si="2"/>
        <v>0</v>
      </c>
      <c r="L9" s="10"/>
      <c r="O9" t="b">
        <f t="shared" si="3"/>
        <v>0</v>
      </c>
      <c r="P9" t="b">
        <f t="shared" si="4"/>
        <v>0</v>
      </c>
      <c r="Q9" s="10"/>
      <c r="R9" s="1">
        <v>8</v>
      </c>
      <c r="S9" s="2">
        <v>250.27</v>
      </c>
      <c r="T9" s="2">
        <v>249.64</v>
      </c>
      <c r="U9" s="2">
        <v>249.92</v>
      </c>
      <c r="V9" s="2">
        <f t="shared" si="5"/>
        <v>249.9433333333333</v>
      </c>
      <c r="W9" s="2">
        <f t="shared" si="6"/>
        <v>0.63000000000002387</v>
      </c>
      <c r="X9" s="2"/>
      <c r="Y9" s="2"/>
      <c r="Z9" s="2"/>
    </row>
    <row r="10" spans="1:34" x14ac:dyDescent="0.25">
      <c r="A10" s="30">
        <v>9</v>
      </c>
      <c r="B10" s="2">
        <v>250.72</v>
      </c>
      <c r="C10" s="2">
        <v>250.8</v>
      </c>
      <c r="D10" s="2">
        <v>249.35</v>
      </c>
      <c r="E10" s="2">
        <f t="shared" si="0"/>
        <v>250.29</v>
      </c>
      <c r="F10" s="2">
        <f t="shared" si="1"/>
        <v>1.4500000000000171</v>
      </c>
      <c r="H10" s="6"/>
      <c r="I10" s="7"/>
      <c r="K10" t="b">
        <f t="shared" si="2"/>
        <v>0</v>
      </c>
      <c r="L10" s="10"/>
      <c r="O10" t="b">
        <f t="shared" si="3"/>
        <v>0</v>
      </c>
      <c r="P10" t="b">
        <f t="shared" si="4"/>
        <v>0</v>
      </c>
      <c r="Q10" s="10"/>
      <c r="R10" s="30">
        <v>9</v>
      </c>
      <c r="S10" s="2">
        <v>250.72</v>
      </c>
      <c r="T10" s="2">
        <v>250.8</v>
      </c>
      <c r="U10" s="2">
        <v>249.35</v>
      </c>
      <c r="V10" s="2">
        <f t="shared" si="5"/>
        <v>250.29</v>
      </c>
      <c r="W10" s="2">
        <f t="shared" si="6"/>
        <v>1.4500000000000171</v>
      </c>
      <c r="X10" s="2"/>
      <c r="Y10" s="2"/>
      <c r="Z10" s="2"/>
    </row>
    <row r="11" spans="1:34" x14ac:dyDescent="0.25">
      <c r="A11" s="1">
        <v>10</v>
      </c>
      <c r="B11" s="2">
        <v>250.45</v>
      </c>
      <c r="C11" s="2">
        <v>249.18</v>
      </c>
      <c r="D11" s="2">
        <v>250.04</v>
      </c>
      <c r="E11" s="2">
        <f t="shared" si="0"/>
        <v>249.89</v>
      </c>
      <c r="F11" s="2">
        <f t="shared" si="1"/>
        <v>1.2699999999999818</v>
      </c>
      <c r="K11" t="b">
        <f t="shared" si="2"/>
        <v>0</v>
      </c>
      <c r="L11" s="10"/>
      <c r="O11" t="b">
        <f t="shared" si="3"/>
        <v>0</v>
      </c>
      <c r="P11" t="b">
        <f t="shared" si="4"/>
        <v>0</v>
      </c>
      <c r="Q11" s="10"/>
      <c r="R11" s="1">
        <v>10</v>
      </c>
      <c r="S11" s="2">
        <v>250.45</v>
      </c>
      <c r="T11" s="2">
        <v>249.18</v>
      </c>
      <c r="U11" s="2">
        <v>250.04</v>
      </c>
      <c r="V11" s="2">
        <f t="shared" si="5"/>
        <v>249.89</v>
      </c>
      <c r="W11" s="2">
        <f t="shared" si="6"/>
        <v>1.2699999999999818</v>
      </c>
      <c r="X11" s="2"/>
      <c r="Y11" s="2"/>
      <c r="Z11" s="2"/>
      <c r="AB11" s="18"/>
    </row>
    <row r="12" spans="1:34" x14ac:dyDescent="0.25">
      <c r="A12" s="1">
        <v>11</v>
      </c>
      <c r="B12" s="2">
        <v>251.76</v>
      </c>
      <c r="C12" s="2">
        <v>252.01</v>
      </c>
      <c r="D12" s="2">
        <v>251.9</v>
      </c>
      <c r="E12" s="2">
        <f t="shared" si="0"/>
        <v>251.89</v>
      </c>
      <c r="F12" s="2">
        <f t="shared" si="1"/>
        <v>0.25</v>
      </c>
      <c r="K12" t="b">
        <f t="shared" si="2"/>
        <v>0</v>
      </c>
      <c r="L12" s="10"/>
      <c r="M12" s="6"/>
      <c r="N12" s="7"/>
      <c r="O12" s="8" t="b">
        <f t="shared" si="3"/>
        <v>0</v>
      </c>
      <c r="P12" s="8" t="b">
        <f t="shared" si="4"/>
        <v>1</v>
      </c>
      <c r="Q12" s="10"/>
      <c r="R12" s="1">
        <v>12</v>
      </c>
      <c r="S12" s="2">
        <v>249.33</v>
      </c>
      <c r="T12" s="2">
        <v>251.21</v>
      </c>
      <c r="U12" s="2">
        <v>250.58</v>
      </c>
      <c r="V12" s="2">
        <f t="shared" ref="V12:V30" si="7">AVERAGE(S12:U12)</f>
        <v>250.37333333333333</v>
      </c>
      <c r="W12" s="2">
        <f t="shared" ref="W12:W30" si="8">MAX(S12:U12)-MIN(S12:U12)</f>
        <v>1.8799999999999955</v>
      </c>
      <c r="X12" s="2"/>
      <c r="Y12" s="2"/>
      <c r="Z12" s="2"/>
    </row>
    <row r="13" spans="1:34" x14ac:dyDescent="0.25">
      <c r="A13" s="1">
        <v>12</v>
      </c>
      <c r="B13" s="2">
        <v>249.33</v>
      </c>
      <c r="C13" s="2">
        <v>251.21</v>
      </c>
      <c r="D13" s="2">
        <v>250.58</v>
      </c>
      <c r="E13" s="2">
        <f t="shared" si="0"/>
        <v>250.37333333333333</v>
      </c>
      <c r="F13" s="2">
        <f t="shared" si="1"/>
        <v>1.8799999999999955</v>
      </c>
      <c r="K13" t="b">
        <f t="shared" si="2"/>
        <v>0</v>
      </c>
      <c r="L13" s="10"/>
      <c r="M13" s="6"/>
      <c r="N13" s="7"/>
      <c r="O13" t="b">
        <f t="shared" si="3"/>
        <v>0</v>
      </c>
      <c r="P13" t="b">
        <f t="shared" si="4"/>
        <v>0</v>
      </c>
      <c r="Q13" s="10"/>
      <c r="R13" s="1">
        <v>13</v>
      </c>
      <c r="S13" s="2">
        <v>249.26</v>
      </c>
      <c r="T13" s="2">
        <v>247.67</v>
      </c>
      <c r="U13" s="2">
        <v>249.99</v>
      </c>
      <c r="V13" s="2">
        <f t="shared" si="7"/>
        <v>248.97333333333333</v>
      </c>
      <c r="W13" s="2">
        <f t="shared" si="8"/>
        <v>2.3200000000000216</v>
      </c>
      <c r="X13" s="2"/>
      <c r="Y13" s="2"/>
      <c r="Z13" s="2"/>
    </row>
    <row r="14" spans="1:34" x14ac:dyDescent="0.25">
      <c r="A14" s="1">
        <v>13</v>
      </c>
      <c r="B14" s="2">
        <v>249.26</v>
      </c>
      <c r="C14" s="2">
        <v>247.67</v>
      </c>
      <c r="D14" s="2">
        <v>249.99</v>
      </c>
      <c r="E14" s="2">
        <f t="shared" si="0"/>
        <v>248.97333333333333</v>
      </c>
      <c r="F14" s="2">
        <f t="shared" si="1"/>
        <v>2.3200000000000216</v>
      </c>
      <c r="K14" t="b">
        <f t="shared" si="2"/>
        <v>0</v>
      </c>
      <c r="L14" s="10"/>
      <c r="M14" s="6"/>
      <c r="N14" s="7"/>
      <c r="O14" t="b">
        <f t="shared" si="3"/>
        <v>0</v>
      </c>
      <c r="P14" t="b">
        <f t="shared" si="4"/>
        <v>0</v>
      </c>
      <c r="Q14" s="10"/>
      <c r="R14" s="1">
        <v>14</v>
      </c>
      <c r="S14" s="2">
        <v>249.41</v>
      </c>
      <c r="T14" s="2">
        <v>249.01</v>
      </c>
      <c r="U14" s="2">
        <v>249.51</v>
      </c>
      <c r="V14" s="2">
        <f t="shared" si="7"/>
        <v>249.30999999999997</v>
      </c>
      <c r="W14" s="2">
        <f t="shared" si="8"/>
        <v>0.5</v>
      </c>
      <c r="X14" s="2"/>
      <c r="Y14" s="2"/>
      <c r="Z14" s="2"/>
    </row>
    <row r="15" spans="1:34" x14ac:dyDescent="0.25">
      <c r="A15" s="1">
        <v>14</v>
      </c>
      <c r="B15" s="2">
        <v>249.41</v>
      </c>
      <c r="C15" s="2">
        <v>249.01</v>
      </c>
      <c r="D15" s="2">
        <v>249.51</v>
      </c>
      <c r="E15" s="2">
        <f t="shared" si="0"/>
        <v>249.30999999999997</v>
      </c>
      <c r="F15" s="2">
        <f t="shared" si="1"/>
        <v>0.5</v>
      </c>
      <c r="K15" t="b">
        <f t="shared" si="2"/>
        <v>0</v>
      </c>
      <c r="L15" s="10"/>
      <c r="M15" s="6"/>
      <c r="N15" s="7"/>
      <c r="O15" t="b">
        <f t="shared" si="3"/>
        <v>0</v>
      </c>
      <c r="P15" t="b">
        <f t="shared" si="4"/>
        <v>0</v>
      </c>
      <c r="Q15" s="10"/>
      <c r="R15" s="1">
        <v>15</v>
      </c>
      <c r="S15" s="2">
        <v>249.92</v>
      </c>
      <c r="T15" s="2">
        <v>249.07</v>
      </c>
      <c r="U15" s="2">
        <v>250.32</v>
      </c>
      <c r="V15" s="2">
        <f t="shared" si="7"/>
        <v>249.76999999999998</v>
      </c>
      <c r="W15" s="2">
        <f t="shared" si="8"/>
        <v>1.25</v>
      </c>
      <c r="X15" s="2"/>
      <c r="Y15" s="2"/>
      <c r="Z15" s="2"/>
    </row>
    <row r="16" spans="1:34" x14ac:dyDescent="0.25">
      <c r="A16" s="1">
        <v>15</v>
      </c>
      <c r="B16" s="2">
        <v>249.92</v>
      </c>
      <c r="C16" s="2">
        <v>249.07</v>
      </c>
      <c r="D16" s="2">
        <v>250.32</v>
      </c>
      <c r="E16" s="2">
        <f t="shared" si="0"/>
        <v>249.76999999999998</v>
      </c>
      <c r="F16" s="2">
        <f t="shared" si="1"/>
        <v>1.25</v>
      </c>
      <c r="K16" t="b">
        <f t="shared" si="2"/>
        <v>0</v>
      </c>
      <c r="L16" s="10"/>
      <c r="O16" t="b">
        <f t="shared" si="3"/>
        <v>0</v>
      </c>
      <c r="P16" t="b">
        <f t="shared" si="4"/>
        <v>0</v>
      </c>
      <c r="Q16" s="10"/>
      <c r="R16" s="1">
        <v>16</v>
      </c>
      <c r="S16" s="2">
        <v>248.29</v>
      </c>
      <c r="T16" s="2">
        <v>249.6</v>
      </c>
      <c r="U16" s="2">
        <v>249.15</v>
      </c>
      <c r="V16" s="2">
        <f t="shared" si="7"/>
        <v>249.01333333333332</v>
      </c>
      <c r="W16" s="2">
        <f t="shared" si="8"/>
        <v>1.3100000000000023</v>
      </c>
      <c r="X16" s="2"/>
      <c r="Y16" s="2"/>
      <c r="Z16" s="2"/>
    </row>
    <row r="17" spans="1:26" x14ac:dyDescent="0.25">
      <c r="A17" s="1">
        <v>16</v>
      </c>
      <c r="B17" s="2">
        <v>248.29</v>
      </c>
      <c r="C17" s="2">
        <v>249.6</v>
      </c>
      <c r="D17" s="2">
        <v>249.15</v>
      </c>
      <c r="E17" s="2">
        <f t="shared" ref="E17:E31" si="9">AVERAGE(B17:D17)</f>
        <v>249.01333333333332</v>
      </c>
      <c r="F17" s="2">
        <f t="shared" ref="F17:F31" si="10">MAX(B17:D17)-MIN(B17:D17)</f>
        <v>1.3100000000000023</v>
      </c>
      <c r="K17" t="b">
        <f t="shared" si="2"/>
        <v>0</v>
      </c>
      <c r="L17" s="10"/>
      <c r="O17" t="b">
        <f t="shared" si="3"/>
        <v>0</v>
      </c>
      <c r="P17" t="b">
        <f t="shared" si="4"/>
        <v>0</v>
      </c>
      <c r="Q17" s="10"/>
      <c r="R17" s="1">
        <v>17</v>
      </c>
      <c r="S17" s="2">
        <v>249.59</v>
      </c>
      <c r="T17" s="2">
        <v>249.89</v>
      </c>
      <c r="U17" s="2">
        <v>248.51</v>
      </c>
      <c r="V17" s="2">
        <f t="shared" si="7"/>
        <v>249.33</v>
      </c>
      <c r="W17" s="2">
        <f t="shared" si="8"/>
        <v>1.3799999999999955</v>
      </c>
      <c r="X17" s="2"/>
      <c r="Y17" s="2"/>
      <c r="Z17" s="2"/>
    </row>
    <row r="18" spans="1:26" x14ac:dyDescent="0.25">
      <c r="A18" s="1">
        <v>17</v>
      </c>
      <c r="B18" s="2">
        <v>249.59</v>
      </c>
      <c r="C18" s="2">
        <v>249.89</v>
      </c>
      <c r="D18" s="2">
        <v>248.51</v>
      </c>
      <c r="E18" s="2">
        <f t="shared" si="9"/>
        <v>249.33</v>
      </c>
      <c r="F18" s="2">
        <f t="shared" si="10"/>
        <v>1.3799999999999955</v>
      </c>
      <c r="K18" t="b">
        <f t="shared" si="2"/>
        <v>0</v>
      </c>
      <c r="L18" s="10"/>
      <c r="O18" t="b">
        <f t="shared" si="3"/>
        <v>0</v>
      </c>
      <c r="P18" t="b">
        <f t="shared" si="4"/>
        <v>0</v>
      </c>
      <c r="Q18" s="10"/>
      <c r="R18" s="1">
        <v>18</v>
      </c>
      <c r="S18" s="2">
        <v>248.03</v>
      </c>
      <c r="T18" s="2">
        <v>249.11</v>
      </c>
      <c r="U18" s="2">
        <v>249.81</v>
      </c>
      <c r="V18" s="2">
        <f t="shared" si="7"/>
        <v>248.98333333333335</v>
      </c>
      <c r="W18" s="2">
        <f t="shared" si="8"/>
        <v>1.7800000000000011</v>
      </c>
      <c r="X18" s="2"/>
      <c r="Y18" s="2"/>
      <c r="Z18" s="2"/>
    </row>
    <row r="19" spans="1:26" x14ac:dyDescent="0.25">
      <c r="A19" s="1">
        <v>18</v>
      </c>
      <c r="B19" s="2">
        <v>248.03</v>
      </c>
      <c r="C19" s="2">
        <v>249.11</v>
      </c>
      <c r="D19" s="2">
        <v>249.81</v>
      </c>
      <c r="E19" s="2">
        <f t="shared" si="9"/>
        <v>248.98333333333335</v>
      </c>
      <c r="F19" s="2">
        <f t="shared" si="10"/>
        <v>1.7800000000000011</v>
      </c>
      <c r="K19" t="b">
        <f t="shared" si="2"/>
        <v>0</v>
      </c>
      <c r="L19" s="10"/>
      <c r="O19" t="b">
        <f t="shared" si="3"/>
        <v>0</v>
      </c>
      <c r="P19" t="b">
        <f t="shared" si="4"/>
        <v>0</v>
      </c>
      <c r="Q19" s="10"/>
      <c r="R19" s="1">
        <v>19</v>
      </c>
      <c r="S19" s="2">
        <v>250.99</v>
      </c>
      <c r="T19" s="2">
        <v>251.5</v>
      </c>
      <c r="U19" s="2">
        <v>249.92</v>
      </c>
      <c r="V19" s="2">
        <f t="shared" si="7"/>
        <v>250.80333333333331</v>
      </c>
      <c r="W19" s="2">
        <f t="shared" si="8"/>
        <v>1.5800000000000125</v>
      </c>
      <c r="X19" s="2"/>
      <c r="Y19" s="2"/>
      <c r="Z19" s="2"/>
    </row>
    <row r="20" spans="1:26" x14ac:dyDescent="0.25">
      <c r="A20" s="1">
        <v>19</v>
      </c>
      <c r="B20" s="2">
        <v>250.99</v>
      </c>
      <c r="C20" s="2">
        <v>251.5</v>
      </c>
      <c r="D20" s="2">
        <v>249.92</v>
      </c>
      <c r="E20" s="2">
        <f t="shared" si="9"/>
        <v>250.80333333333331</v>
      </c>
      <c r="F20" s="2">
        <f t="shared" si="10"/>
        <v>1.5800000000000125</v>
      </c>
      <c r="K20" t="b">
        <f t="shared" si="2"/>
        <v>0</v>
      </c>
      <c r="L20" s="10"/>
      <c r="O20" t="b">
        <f t="shared" si="3"/>
        <v>0</v>
      </c>
      <c r="P20" t="b">
        <f t="shared" si="4"/>
        <v>0</v>
      </c>
      <c r="Q20" s="10"/>
      <c r="R20" s="1">
        <v>20</v>
      </c>
      <c r="S20" s="2">
        <v>247.62</v>
      </c>
      <c r="T20" s="2">
        <v>250.43</v>
      </c>
      <c r="U20" s="2">
        <v>250.39</v>
      </c>
      <c r="V20" s="2">
        <f t="shared" si="7"/>
        <v>249.48000000000002</v>
      </c>
      <c r="W20" s="2">
        <f t="shared" si="8"/>
        <v>2.8100000000000023</v>
      </c>
      <c r="X20" s="2"/>
      <c r="Y20" s="2"/>
      <c r="Z20" s="2"/>
    </row>
    <row r="21" spans="1:26" x14ac:dyDescent="0.25">
      <c r="A21" s="1">
        <v>20</v>
      </c>
      <c r="B21" s="2">
        <v>247.62</v>
      </c>
      <c r="C21" s="2">
        <v>250.43</v>
      </c>
      <c r="D21" s="2">
        <v>250.39</v>
      </c>
      <c r="E21" s="2">
        <f t="shared" si="9"/>
        <v>249.48000000000002</v>
      </c>
      <c r="F21" s="2">
        <f t="shared" si="10"/>
        <v>2.8100000000000023</v>
      </c>
      <c r="K21" t="b">
        <f t="shared" si="2"/>
        <v>0</v>
      </c>
      <c r="L21" s="10"/>
      <c r="O21" t="b">
        <f t="shared" si="3"/>
        <v>0</v>
      </c>
      <c r="P21" t="b">
        <f t="shared" si="4"/>
        <v>0</v>
      </c>
      <c r="Q21" s="10"/>
      <c r="R21" s="1">
        <v>21</v>
      </c>
      <c r="S21" s="2">
        <v>250.6</v>
      </c>
      <c r="T21" s="2">
        <v>250.54</v>
      </c>
      <c r="U21" s="2">
        <v>250.2</v>
      </c>
      <c r="V21" s="2">
        <f t="shared" si="7"/>
        <v>250.44666666666663</v>
      </c>
      <c r="W21" s="2">
        <f t="shared" si="8"/>
        <v>0.40000000000000568</v>
      </c>
      <c r="X21" s="2"/>
      <c r="Y21" s="2"/>
      <c r="Z21" s="2"/>
    </row>
    <row r="22" spans="1:26" x14ac:dyDescent="0.25">
      <c r="A22" s="1">
        <v>21</v>
      </c>
      <c r="B22" s="2">
        <v>250.6</v>
      </c>
      <c r="C22" s="2">
        <v>250.54</v>
      </c>
      <c r="D22" s="2">
        <v>250.2</v>
      </c>
      <c r="E22" s="2">
        <f t="shared" si="9"/>
        <v>250.44666666666663</v>
      </c>
      <c r="F22" s="2">
        <f t="shared" si="10"/>
        <v>0.40000000000000568</v>
      </c>
      <c r="K22" t="b">
        <f t="shared" si="2"/>
        <v>0</v>
      </c>
      <c r="L22" s="10"/>
      <c r="O22" t="b">
        <f t="shared" si="3"/>
        <v>0</v>
      </c>
      <c r="P22" t="b">
        <f t="shared" si="4"/>
        <v>0</v>
      </c>
      <c r="Q22" s="10"/>
      <c r="R22" s="1">
        <v>22</v>
      </c>
      <c r="S22" s="2">
        <v>250.44</v>
      </c>
      <c r="T22" s="2">
        <v>251.17</v>
      </c>
      <c r="U22" s="2">
        <v>250.01</v>
      </c>
      <c r="V22" s="2">
        <f t="shared" si="7"/>
        <v>250.54</v>
      </c>
      <c r="W22" s="2">
        <f t="shared" si="8"/>
        <v>1.1599999999999966</v>
      </c>
      <c r="X22" s="2"/>
      <c r="Y22" s="2"/>
      <c r="Z22" s="2"/>
    </row>
    <row r="23" spans="1:26" x14ac:dyDescent="0.25">
      <c r="A23" s="1">
        <v>22</v>
      </c>
      <c r="B23" s="2">
        <v>250.44</v>
      </c>
      <c r="C23" s="2">
        <v>251.17</v>
      </c>
      <c r="D23" s="2">
        <v>250.01</v>
      </c>
      <c r="E23" s="2">
        <f t="shared" si="9"/>
        <v>250.54</v>
      </c>
      <c r="F23" s="2">
        <f t="shared" si="10"/>
        <v>1.1599999999999966</v>
      </c>
      <c r="K23" t="b">
        <f t="shared" si="2"/>
        <v>0</v>
      </c>
      <c r="L23" s="10"/>
      <c r="O23" t="b">
        <f t="shared" si="3"/>
        <v>0</v>
      </c>
      <c r="P23" t="b">
        <f t="shared" si="4"/>
        <v>0</v>
      </c>
      <c r="Q23" s="10"/>
      <c r="R23" s="1">
        <v>23</v>
      </c>
      <c r="S23" s="2">
        <v>249.35</v>
      </c>
      <c r="T23" s="2">
        <v>249.16</v>
      </c>
      <c r="U23" s="2">
        <v>250.2</v>
      </c>
      <c r="V23" s="2">
        <f t="shared" si="7"/>
        <v>249.57000000000002</v>
      </c>
      <c r="W23" s="2">
        <f t="shared" si="8"/>
        <v>1.039999999999992</v>
      </c>
      <c r="X23" s="2"/>
      <c r="Y23" s="2"/>
      <c r="Z23" s="2"/>
    </row>
    <row r="24" spans="1:26" x14ac:dyDescent="0.25">
      <c r="A24" s="1">
        <v>23</v>
      </c>
      <c r="B24" s="2">
        <v>249.35</v>
      </c>
      <c r="C24" s="2">
        <v>249.16</v>
      </c>
      <c r="D24" s="2">
        <v>250.2</v>
      </c>
      <c r="E24" s="2">
        <f t="shared" si="9"/>
        <v>249.57000000000002</v>
      </c>
      <c r="F24" s="2">
        <f t="shared" si="10"/>
        <v>1.039999999999992</v>
      </c>
      <c r="K24" t="b">
        <f t="shared" si="2"/>
        <v>0</v>
      </c>
      <c r="L24" s="10"/>
      <c r="O24" t="b">
        <f t="shared" si="3"/>
        <v>0</v>
      </c>
      <c r="P24" t="b">
        <f t="shared" si="4"/>
        <v>0</v>
      </c>
      <c r="Q24" s="10"/>
      <c r="R24" s="1">
        <v>24</v>
      </c>
      <c r="S24" s="2">
        <v>248.17</v>
      </c>
      <c r="T24" s="2">
        <v>249.94</v>
      </c>
      <c r="U24" s="2">
        <v>248.15</v>
      </c>
      <c r="V24" s="2">
        <f t="shared" si="7"/>
        <v>248.75333333333333</v>
      </c>
      <c r="W24" s="2">
        <f t="shared" si="8"/>
        <v>1.789999999999992</v>
      </c>
      <c r="X24" s="2"/>
      <c r="Y24" s="2"/>
      <c r="Z24" s="2"/>
    </row>
    <row r="25" spans="1:26" x14ac:dyDescent="0.25">
      <c r="A25" s="1">
        <v>24</v>
      </c>
      <c r="B25" s="2">
        <v>248.17</v>
      </c>
      <c r="C25" s="2">
        <v>249.94</v>
      </c>
      <c r="D25" s="2">
        <v>248.15</v>
      </c>
      <c r="E25" s="2">
        <f t="shared" si="9"/>
        <v>248.75333333333333</v>
      </c>
      <c r="F25" s="2">
        <f t="shared" si="10"/>
        <v>1.789999999999992</v>
      </c>
      <c r="K25" t="b">
        <f t="shared" si="2"/>
        <v>0</v>
      </c>
      <c r="L25" s="10"/>
      <c r="O25" t="b">
        <f t="shared" si="3"/>
        <v>0</v>
      </c>
      <c r="P25" t="b">
        <f t="shared" si="4"/>
        <v>0</v>
      </c>
      <c r="Q25" s="10"/>
      <c r="R25" s="1">
        <v>25</v>
      </c>
      <c r="S25" s="2">
        <v>249.98</v>
      </c>
      <c r="T25" s="2">
        <v>251.57</v>
      </c>
      <c r="U25" s="2">
        <v>249.79</v>
      </c>
      <c r="V25" s="2">
        <f t="shared" si="7"/>
        <v>250.44666666666663</v>
      </c>
      <c r="W25" s="2">
        <f t="shared" si="8"/>
        <v>1.7800000000000011</v>
      </c>
      <c r="X25" s="2"/>
      <c r="Y25" s="2"/>
      <c r="Z25" s="2"/>
    </row>
    <row r="26" spans="1:26" x14ac:dyDescent="0.25">
      <c r="A26" s="1">
        <v>25</v>
      </c>
      <c r="B26" s="2">
        <v>249.98</v>
      </c>
      <c r="C26" s="2">
        <v>251.57</v>
      </c>
      <c r="D26" s="2">
        <v>249.79</v>
      </c>
      <c r="E26" s="2">
        <f t="shared" si="9"/>
        <v>250.44666666666663</v>
      </c>
      <c r="F26" s="2">
        <f t="shared" si="10"/>
        <v>1.7800000000000011</v>
      </c>
      <c r="K26" t="b">
        <f t="shared" si="2"/>
        <v>0</v>
      </c>
      <c r="L26" s="10"/>
      <c r="O26" t="b">
        <f t="shared" si="3"/>
        <v>0</v>
      </c>
      <c r="P26" t="b">
        <f t="shared" si="4"/>
        <v>0</v>
      </c>
      <c r="Q26" s="10"/>
      <c r="R26" s="1">
        <v>26</v>
      </c>
      <c r="S26" s="2">
        <v>250.1</v>
      </c>
      <c r="T26" s="2">
        <v>249.57</v>
      </c>
      <c r="U26" s="2">
        <v>249.11</v>
      </c>
      <c r="V26" s="2">
        <f t="shared" si="7"/>
        <v>249.59333333333333</v>
      </c>
      <c r="W26" s="2">
        <f t="shared" si="8"/>
        <v>0.98999999999998067</v>
      </c>
      <c r="X26" s="2"/>
      <c r="Y26" s="2"/>
      <c r="Z26" s="2"/>
    </row>
    <row r="27" spans="1:26" x14ac:dyDescent="0.25">
      <c r="A27" s="1">
        <v>26</v>
      </c>
      <c r="B27" s="2">
        <v>250.1</v>
      </c>
      <c r="C27" s="2">
        <v>249.57</v>
      </c>
      <c r="D27" s="2">
        <v>249.11</v>
      </c>
      <c r="E27" s="2">
        <f t="shared" si="9"/>
        <v>249.59333333333333</v>
      </c>
      <c r="F27" s="2">
        <f t="shared" si="10"/>
        <v>0.98999999999998067</v>
      </c>
      <c r="K27" t="b">
        <f t="shared" si="2"/>
        <v>0</v>
      </c>
      <c r="L27" s="10"/>
      <c r="O27" t="b">
        <f t="shared" si="3"/>
        <v>0</v>
      </c>
      <c r="P27" t="b">
        <f t="shared" si="4"/>
        <v>0</v>
      </c>
      <c r="Q27" s="10"/>
      <c r="R27" s="1">
        <v>27</v>
      </c>
      <c r="S27" s="2">
        <v>248.82</v>
      </c>
      <c r="T27" s="2">
        <v>251.01</v>
      </c>
      <c r="U27" s="2">
        <v>248.9</v>
      </c>
      <c r="V27" s="2">
        <f t="shared" si="7"/>
        <v>249.57666666666668</v>
      </c>
      <c r="W27" s="2">
        <f t="shared" si="8"/>
        <v>2.1899999999999977</v>
      </c>
      <c r="X27" s="2"/>
      <c r="Y27" s="2"/>
      <c r="Z27" s="2"/>
    </row>
    <row r="28" spans="1:26" x14ac:dyDescent="0.25">
      <c r="A28" s="1">
        <v>27</v>
      </c>
      <c r="B28" s="2">
        <v>248.82</v>
      </c>
      <c r="C28" s="2">
        <v>251.01</v>
      </c>
      <c r="D28" s="2">
        <v>248.9</v>
      </c>
      <c r="E28" s="2">
        <f t="shared" si="9"/>
        <v>249.57666666666668</v>
      </c>
      <c r="F28" s="2">
        <f t="shared" si="10"/>
        <v>2.1899999999999977</v>
      </c>
      <c r="K28" t="b">
        <f t="shared" si="2"/>
        <v>0</v>
      </c>
      <c r="L28" s="10"/>
      <c r="O28" t="b">
        <f t="shared" si="3"/>
        <v>0</v>
      </c>
      <c r="P28" t="b">
        <f t="shared" si="4"/>
        <v>0</v>
      </c>
      <c r="Q28" s="10"/>
      <c r="R28" s="1">
        <v>28</v>
      </c>
      <c r="S28" s="2">
        <v>248.39</v>
      </c>
      <c r="T28" s="2">
        <v>248.26</v>
      </c>
      <c r="U28" s="2">
        <v>250.57</v>
      </c>
      <c r="V28" s="2">
        <f t="shared" si="7"/>
        <v>249.07333333333335</v>
      </c>
      <c r="W28" s="2">
        <f t="shared" si="8"/>
        <v>2.3100000000000023</v>
      </c>
      <c r="X28" s="2"/>
      <c r="Y28" s="2"/>
      <c r="Z28" s="2"/>
    </row>
    <row r="29" spans="1:26" x14ac:dyDescent="0.25">
      <c r="A29" s="1">
        <v>28</v>
      </c>
      <c r="B29" s="2">
        <v>248.39</v>
      </c>
      <c r="C29" s="2">
        <v>248.26</v>
      </c>
      <c r="D29" s="2">
        <v>250.57</v>
      </c>
      <c r="E29" s="2">
        <f t="shared" si="9"/>
        <v>249.07333333333335</v>
      </c>
      <c r="F29" s="2">
        <f t="shared" si="10"/>
        <v>2.3100000000000023</v>
      </c>
      <c r="K29" t="b">
        <f t="shared" si="2"/>
        <v>0</v>
      </c>
      <c r="L29" s="10"/>
      <c r="O29" t="b">
        <f t="shared" si="3"/>
        <v>0</v>
      </c>
      <c r="P29" t="b">
        <f t="shared" si="4"/>
        <v>0</v>
      </c>
      <c r="Q29" s="10"/>
      <c r="R29" s="1">
        <v>29</v>
      </c>
      <c r="S29" s="2">
        <v>251.43</v>
      </c>
      <c r="T29" s="2">
        <v>250.92</v>
      </c>
      <c r="U29" s="2">
        <v>250.12</v>
      </c>
      <c r="V29" s="2">
        <f t="shared" si="7"/>
        <v>250.82333333333335</v>
      </c>
      <c r="W29" s="2">
        <f t="shared" si="8"/>
        <v>1.3100000000000023</v>
      </c>
      <c r="X29" s="2"/>
      <c r="Y29" s="2"/>
      <c r="Z29" s="2"/>
    </row>
    <row r="30" spans="1:26" x14ac:dyDescent="0.25">
      <c r="A30" s="1">
        <v>29</v>
      </c>
      <c r="B30" s="2">
        <v>251.43</v>
      </c>
      <c r="C30" s="2">
        <v>250.92</v>
      </c>
      <c r="D30" s="2">
        <v>250.12</v>
      </c>
      <c r="E30" s="2">
        <f t="shared" si="9"/>
        <v>250.82333333333335</v>
      </c>
      <c r="F30" s="2">
        <f t="shared" si="10"/>
        <v>1.3100000000000023</v>
      </c>
      <c r="K30" t="b">
        <f t="shared" si="2"/>
        <v>0</v>
      </c>
      <c r="L30" s="10"/>
      <c r="O30" t="b">
        <f t="shared" si="3"/>
        <v>0</v>
      </c>
      <c r="P30" t="b">
        <f t="shared" si="4"/>
        <v>0</v>
      </c>
      <c r="Q30" s="10"/>
      <c r="R30" s="1">
        <v>30</v>
      </c>
      <c r="S30" s="2">
        <v>248.82</v>
      </c>
      <c r="T30" s="2">
        <v>249.28</v>
      </c>
      <c r="U30" s="2">
        <v>248.57</v>
      </c>
      <c r="V30" s="2">
        <f t="shared" si="7"/>
        <v>248.89000000000001</v>
      </c>
      <c r="W30" s="2">
        <f t="shared" si="8"/>
        <v>0.71000000000000796</v>
      </c>
      <c r="X30" s="2"/>
      <c r="Y30" s="2"/>
      <c r="Z30" s="2"/>
    </row>
    <row r="31" spans="1:26" x14ac:dyDescent="0.25">
      <c r="A31" s="1">
        <v>30</v>
      </c>
      <c r="B31" s="2">
        <v>248.82</v>
      </c>
      <c r="C31" s="2">
        <v>249.28</v>
      </c>
      <c r="D31" s="2">
        <v>248.57</v>
      </c>
      <c r="E31" s="2">
        <f t="shared" si="9"/>
        <v>248.89000000000001</v>
      </c>
      <c r="F31" s="2">
        <f t="shared" si="10"/>
        <v>0.71000000000000796</v>
      </c>
      <c r="K31" t="b">
        <f t="shared" si="2"/>
        <v>0</v>
      </c>
      <c r="L31" s="10"/>
      <c r="O31" t="b">
        <f t="shared" si="3"/>
        <v>0</v>
      </c>
      <c r="P31" t="b">
        <f t="shared" si="4"/>
        <v>0</v>
      </c>
      <c r="Q31" s="10"/>
      <c r="Z31" s="2"/>
    </row>
    <row r="32" spans="1:26" x14ac:dyDescent="0.25">
      <c r="F32" s="2"/>
      <c r="L32" s="32"/>
    </row>
    <row r="33" spans="6:6" x14ac:dyDescent="0.25">
      <c r="F33" s="2"/>
    </row>
    <row r="34" spans="6:6" x14ac:dyDescent="0.25">
      <c r="F34" s="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L1" sqref="L1:N4"/>
    </sheetView>
  </sheetViews>
  <sheetFormatPr defaultRowHeight="15" x14ac:dyDescent="0.25"/>
  <cols>
    <col min="1" max="1" width="14.140625" customWidth="1"/>
    <col min="2" max="2" width="7.85546875" customWidth="1"/>
    <col min="9" max="9" width="13.7109375" customWidth="1"/>
    <col min="14" max="14" width="17.85546875" bestFit="1" customWidth="1"/>
  </cols>
  <sheetData>
    <row r="1" spans="1:14" x14ac:dyDescent="0.25">
      <c r="A1" s="37" t="s">
        <v>25</v>
      </c>
      <c r="B1" s="41">
        <v>4.2031034482758622</v>
      </c>
      <c r="D1" s="28" t="s">
        <v>35</v>
      </c>
      <c r="E1" s="33">
        <f>(5-2.3-B7)/B2</f>
        <v>-1.2193896135860203</v>
      </c>
      <c r="F1" s="29">
        <f>_xlfn.NORM.DIST(E1,0,1,TRUE)</f>
        <v>0.11134817509712286</v>
      </c>
      <c r="G1" s="10"/>
      <c r="I1" s="37" t="s">
        <v>25</v>
      </c>
      <c r="J1" s="41">
        <v>4.2</v>
      </c>
      <c r="L1" s="28" t="s">
        <v>35</v>
      </c>
      <c r="M1" s="33">
        <f>(2.9-J7)/J2</f>
        <v>-1.104972375690608</v>
      </c>
      <c r="N1" s="29">
        <f>_xlfn.NORM.DIST(M1,0,1,TRUE)</f>
        <v>0.13458577958863702</v>
      </c>
    </row>
    <row r="2" spans="1:14" x14ac:dyDescent="0.25">
      <c r="A2" s="37" t="s">
        <v>21</v>
      </c>
      <c r="B2" s="41">
        <v>1.8070092210988229</v>
      </c>
      <c r="D2" s="28" t="s">
        <v>36</v>
      </c>
      <c r="E2" s="33">
        <f>(5+2.3-B7)/B2</f>
        <v>1.326253179095906</v>
      </c>
      <c r="F2" s="29">
        <f>1-_xlfn.NORM.DIST(E2,0,1,TRUE)</f>
        <v>9.237792493060426E-2</v>
      </c>
      <c r="G2" s="10"/>
      <c r="I2" s="37" t="s">
        <v>21</v>
      </c>
      <c r="J2" s="41">
        <v>1.81</v>
      </c>
      <c r="L2" s="28" t="s">
        <v>36</v>
      </c>
      <c r="M2" s="33">
        <f>(7.1-J7)/J2</f>
        <v>1.2154696132596681</v>
      </c>
      <c r="N2" s="45">
        <f>1-_xlfn.NORM.DIST(M2,0,1,TRUE)</f>
        <v>0.11209351574526871</v>
      </c>
    </row>
    <row r="3" spans="1:14" x14ac:dyDescent="0.25">
      <c r="A3" s="37" t="s">
        <v>22</v>
      </c>
      <c r="B3" s="41">
        <v>0</v>
      </c>
      <c r="G3" s="10"/>
      <c r="I3" s="37" t="s">
        <v>22</v>
      </c>
      <c r="J3" s="41">
        <v>0</v>
      </c>
    </row>
    <row r="4" spans="1:14" x14ac:dyDescent="0.25">
      <c r="A4" s="37" t="s">
        <v>24</v>
      </c>
      <c r="B4" s="41">
        <v>4.2031034482758622</v>
      </c>
      <c r="D4" s="27" t="s">
        <v>49</v>
      </c>
      <c r="E4" s="34">
        <f>F1+F2</f>
        <v>0.20372610002772712</v>
      </c>
      <c r="F4" s="27"/>
      <c r="G4" s="10"/>
      <c r="I4" s="37" t="s">
        <v>24</v>
      </c>
      <c r="J4" s="41">
        <v>4.2</v>
      </c>
      <c r="L4" s="27" t="s">
        <v>49</v>
      </c>
      <c r="M4" s="34">
        <f>N1+N2</f>
        <v>0.24667929533390573</v>
      </c>
      <c r="N4" s="27"/>
    </row>
    <row r="5" spans="1:14" x14ac:dyDescent="0.25">
      <c r="A5" s="37" t="s">
        <v>23</v>
      </c>
      <c r="B5" s="41">
        <v>8.8868713493640108</v>
      </c>
      <c r="G5" s="10"/>
      <c r="I5" s="37" t="s">
        <v>23</v>
      </c>
      <c r="J5" s="41">
        <v>8.89</v>
      </c>
    </row>
    <row r="6" spans="1:14" x14ac:dyDescent="0.25">
      <c r="A6" s="37"/>
      <c r="B6" s="41"/>
      <c r="G6" s="10"/>
      <c r="I6" s="37"/>
      <c r="J6" s="41"/>
    </row>
    <row r="7" spans="1:14" x14ac:dyDescent="0.25">
      <c r="A7" s="37" t="s">
        <v>29</v>
      </c>
      <c r="B7" s="41">
        <v>4.9034482758620692</v>
      </c>
      <c r="G7" s="10"/>
      <c r="I7" s="37" t="s">
        <v>29</v>
      </c>
      <c r="J7" s="41">
        <v>4.9000000000000004</v>
      </c>
    </row>
    <row r="8" spans="1:14" x14ac:dyDescent="0.25">
      <c r="A8" s="37" t="s">
        <v>28</v>
      </c>
      <c r="B8" s="41">
        <v>2.4790910032545201</v>
      </c>
      <c r="G8" s="10"/>
      <c r="I8" s="37" t="s">
        <v>28</v>
      </c>
      <c r="J8" s="41">
        <v>2.48</v>
      </c>
    </row>
    <row r="9" spans="1:14" x14ac:dyDescent="0.25">
      <c r="A9" s="37" t="s">
        <v>27</v>
      </c>
      <c r="B9" s="41">
        <v>4.9034482758620692</v>
      </c>
      <c r="G9" s="10"/>
      <c r="I9" s="37" t="s">
        <v>27</v>
      </c>
      <c r="J9" s="41">
        <v>4.9000000000000004</v>
      </c>
    </row>
    <row r="10" spans="1:14" x14ac:dyDescent="0.25">
      <c r="A10" s="37" t="s">
        <v>26</v>
      </c>
      <c r="B10" s="41">
        <v>7.3278055484696178</v>
      </c>
      <c r="G10" s="10"/>
      <c r="I10" s="37" t="s">
        <v>26</v>
      </c>
      <c r="J10" s="41">
        <v>7.33</v>
      </c>
    </row>
    <row r="11" spans="1:14" x14ac:dyDescent="0.25">
      <c r="A11" s="10"/>
      <c r="B11" s="10"/>
      <c r="C11" s="10"/>
      <c r="D11" s="10"/>
      <c r="E11" s="10"/>
      <c r="F11" s="10"/>
      <c r="G11" s="10"/>
    </row>
    <row r="12" spans="1:14" x14ac:dyDescent="0.25">
      <c r="A12" s="37" t="s">
        <v>25</v>
      </c>
      <c r="B12" s="41">
        <v>0.25624999999999998</v>
      </c>
      <c r="D12" s="28" t="s">
        <v>35</v>
      </c>
      <c r="E12" s="33">
        <f>(34.745-B18)/B13</f>
        <v>-2.3304398727465374</v>
      </c>
      <c r="F12" s="29">
        <f>_xlfn.NORM.DIST(E12,0,1,TRUE)</f>
        <v>9.8914572236353873E-3</v>
      </c>
      <c r="G12" s="10"/>
    </row>
    <row r="13" spans="1:14" x14ac:dyDescent="0.25">
      <c r="A13" s="37" t="s">
        <v>21</v>
      </c>
      <c r="B13" s="41">
        <v>0.11016766981943249</v>
      </c>
      <c r="D13" s="28" t="s">
        <v>36</v>
      </c>
      <c r="E13" s="33">
        <f>(35.183-B18)/B13</f>
        <v>1.6453181760339726</v>
      </c>
      <c r="F13" s="29">
        <f>1-_xlfn.NORM.DIST(E13,0,1,TRUE)</f>
        <v>4.9952106734930779E-2</v>
      </c>
      <c r="G13" s="10"/>
    </row>
    <row r="14" spans="1:14" x14ac:dyDescent="0.25">
      <c r="A14" s="37" t="s">
        <v>22</v>
      </c>
      <c r="B14" s="41">
        <v>0</v>
      </c>
      <c r="G14" s="10"/>
    </row>
    <row r="15" spans="1:14" x14ac:dyDescent="0.25">
      <c r="A15" s="37" t="s">
        <v>24</v>
      </c>
      <c r="B15" s="41">
        <v>0.25624999999999998</v>
      </c>
      <c r="D15" s="27" t="s">
        <v>50</v>
      </c>
      <c r="E15" s="42">
        <f>F12+F13</f>
        <v>5.9843563958566166E-2</v>
      </c>
      <c r="F15" s="27"/>
      <c r="G15" s="10"/>
    </row>
    <row r="16" spans="1:14" x14ac:dyDescent="0.25">
      <c r="A16" s="37" t="s">
        <v>23</v>
      </c>
      <c r="B16" s="41">
        <v>0.54180460017196896</v>
      </c>
      <c r="E16" s="42" t="s">
        <v>51</v>
      </c>
      <c r="F16" s="27">
        <f>MIN((B18-34.745)/(3*B13),(35.183-B18)/(3*B13))</f>
        <v>0.54843939201132419</v>
      </c>
      <c r="G16" s="10"/>
    </row>
    <row r="17" spans="1:7" x14ac:dyDescent="0.25">
      <c r="A17" s="37"/>
      <c r="B17" s="41"/>
      <c r="D17" t="s">
        <v>52</v>
      </c>
      <c r="G17" s="10"/>
    </row>
    <row r="18" spans="1:7" x14ac:dyDescent="0.25">
      <c r="A18" s="37" t="s">
        <v>29</v>
      </c>
      <c r="B18" s="41">
        <v>35.001739130434778</v>
      </c>
      <c r="G18" s="10"/>
    </row>
    <row r="19" spans="1:7" x14ac:dyDescent="0.25">
      <c r="A19" s="37" t="s">
        <v>28</v>
      </c>
      <c r="B19" s="41">
        <v>34.853933691251378</v>
      </c>
      <c r="G19" s="10"/>
    </row>
    <row r="20" spans="1:7" x14ac:dyDescent="0.25">
      <c r="A20" s="37" t="s">
        <v>27</v>
      </c>
      <c r="B20" s="41">
        <v>35.001739130434778</v>
      </c>
      <c r="G20" s="10"/>
    </row>
    <row r="21" spans="1:7" x14ac:dyDescent="0.25">
      <c r="A21" s="37" t="s">
        <v>26</v>
      </c>
      <c r="B21" s="41">
        <v>35.149544569618179</v>
      </c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opLeftCell="V1" workbookViewId="0">
      <selection activeCell="AN1" sqref="AN1"/>
    </sheetView>
  </sheetViews>
  <sheetFormatPr defaultRowHeight="15" x14ac:dyDescent="0.25"/>
  <cols>
    <col min="1" max="5" width="14.5703125" style="1" customWidth="1"/>
    <col min="6" max="6" width="2" customWidth="1"/>
    <col min="7" max="7" width="15.140625" customWidth="1"/>
    <col min="9" max="9" width="2.42578125" customWidth="1"/>
    <col min="10" max="10" width="10.42578125" customWidth="1"/>
    <col min="11" max="11" width="2.7109375" customWidth="1"/>
    <col min="12" max="12" width="10.5703125" customWidth="1"/>
    <col min="15" max="15" width="2.85546875" customWidth="1"/>
    <col min="16" max="16" width="14.140625" customWidth="1"/>
    <col min="18" max="18" width="11.5703125" customWidth="1"/>
    <col min="21" max="21" width="3.5703125" customWidth="1"/>
    <col min="22" max="22" width="11.5703125" customWidth="1"/>
    <col min="25" max="25" width="4.28515625" customWidth="1"/>
    <col min="26" max="26" width="13.140625" customWidth="1"/>
  </cols>
  <sheetData>
    <row r="1" spans="1:34" x14ac:dyDescent="0.25">
      <c r="A1" s="1" t="s">
        <v>18</v>
      </c>
      <c r="B1" s="1" t="s">
        <v>53</v>
      </c>
      <c r="C1" s="1" t="s">
        <v>19</v>
      </c>
      <c r="D1" s="1" t="s">
        <v>54</v>
      </c>
      <c r="E1" s="1" t="s">
        <v>20</v>
      </c>
      <c r="F1" s="1"/>
      <c r="G1" s="6" t="s">
        <v>25</v>
      </c>
      <c r="H1" s="7">
        <f>AVERAGE(E2:E26)</f>
        <v>7.5</v>
      </c>
      <c r="J1" t="s">
        <v>32</v>
      </c>
      <c r="K1" s="10"/>
      <c r="L1" s="1" t="s">
        <v>18</v>
      </c>
      <c r="M1" s="1" t="s">
        <v>19</v>
      </c>
      <c r="N1" s="1" t="s">
        <v>20</v>
      </c>
      <c r="O1" s="1"/>
      <c r="P1" s="11" t="s">
        <v>25</v>
      </c>
      <c r="Q1" s="12">
        <f>AVERAGE(N2:N25)</f>
        <v>7.0625</v>
      </c>
      <c r="R1" t="s">
        <v>32</v>
      </c>
      <c r="S1" t="s">
        <v>19</v>
      </c>
      <c r="T1" t="s">
        <v>34</v>
      </c>
      <c r="U1" s="10"/>
      <c r="V1" s="1" t="s">
        <v>18</v>
      </c>
      <c r="W1" s="1" t="s">
        <v>19</v>
      </c>
      <c r="X1" s="1" t="s">
        <v>20</v>
      </c>
      <c r="Y1" s="1"/>
      <c r="Z1" s="16"/>
      <c r="AA1" s="17"/>
      <c r="AC1" t="s">
        <v>19</v>
      </c>
      <c r="AD1" t="s">
        <v>34</v>
      </c>
      <c r="AF1">
        <v>1</v>
      </c>
      <c r="AG1" s="43">
        <v>101.75</v>
      </c>
      <c r="AH1" s="44">
        <v>4.5</v>
      </c>
    </row>
    <row r="2" spans="1:34" x14ac:dyDescent="0.25">
      <c r="A2" s="1">
        <v>1</v>
      </c>
      <c r="B2" s="2">
        <v>134.5</v>
      </c>
      <c r="C2" s="2">
        <f>B2*1.5-100</f>
        <v>101.75</v>
      </c>
      <c r="D2" s="1">
        <v>3</v>
      </c>
      <c r="E2" s="1">
        <f>D2*1.5</f>
        <v>4.5</v>
      </c>
      <c r="G2" s="6" t="s">
        <v>21</v>
      </c>
      <c r="H2" s="7">
        <f>H1/2.326</f>
        <v>3.224419604471195</v>
      </c>
      <c r="J2" t="b">
        <f>E2 &gt; $H$5</f>
        <v>0</v>
      </c>
      <c r="K2" s="10"/>
      <c r="L2" s="1">
        <v>1</v>
      </c>
      <c r="M2" s="2">
        <v>101.75</v>
      </c>
      <c r="N2" s="1">
        <v>4.5</v>
      </c>
      <c r="P2" s="11" t="s">
        <v>21</v>
      </c>
      <c r="Q2" s="12">
        <f>Q1/2.326</f>
        <v>3.036328460877042</v>
      </c>
      <c r="R2" t="b">
        <f>N2 &gt; $Q$5</f>
        <v>0</v>
      </c>
      <c r="S2" t="b">
        <f>M2 &lt; $Q$8</f>
        <v>0</v>
      </c>
      <c r="T2" t="b">
        <f>M2 &gt; $Q$10</f>
        <v>0</v>
      </c>
      <c r="U2" s="10"/>
      <c r="V2" s="1">
        <v>1</v>
      </c>
      <c r="W2" s="2">
        <v>101.75</v>
      </c>
      <c r="X2" s="1">
        <v>4.5</v>
      </c>
      <c r="Z2" s="16"/>
      <c r="AA2" s="17"/>
      <c r="AC2" t="b">
        <f>W2 &lt; $AA$8</f>
        <v>0</v>
      </c>
      <c r="AD2" t="b">
        <f>W2 &gt; $AA$10</f>
        <v>0</v>
      </c>
      <c r="AF2">
        <v>2</v>
      </c>
      <c r="AG2" s="43">
        <v>101.29999999999998</v>
      </c>
      <c r="AH2" s="44">
        <v>6</v>
      </c>
    </row>
    <row r="3" spans="1:34" x14ac:dyDescent="0.25">
      <c r="A3" s="1">
        <v>2</v>
      </c>
      <c r="B3" s="2">
        <v>134.19999999999999</v>
      </c>
      <c r="C3" s="2">
        <f t="shared" ref="C3:C26" si="0">B3*1.5-100</f>
        <v>101.29999999999998</v>
      </c>
      <c r="D3" s="1">
        <v>4</v>
      </c>
      <c r="E3" s="1">
        <f t="shared" ref="E3:E26" si="1">D3*1.5</f>
        <v>6</v>
      </c>
      <c r="G3" s="6" t="s">
        <v>22</v>
      </c>
      <c r="H3" s="7">
        <f>MAX((2.326-3*0.864)*H2,0)</f>
        <v>0</v>
      </c>
      <c r="J3" t="b">
        <f t="shared" ref="J3:J26" si="2">E3 &gt; $H$5</f>
        <v>0</v>
      </c>
      <c r="K3" s="10"/>
      <c r="L3" s="1">
        <v>2</v>
      </c>
      <c r="M3" s="2">
        <v>101.29999999999998</v>
      </c>
      <c r="N3" s="1">
        <v>6</v>
      </c>
      <c r="P3" s="11" t="s">
        <v>22</v>
      </c>
      <c r="Q3" s="12">
        <f>MAX((2.326-3*0.864)*Q2,0)</f>
        <v>0</v>
      </c>
      <c r="R3" t="b">
        <f t="shared" ref="R3:R25" si="3">N3 &gt; $Q$5</f>
        <v>0</v>
      </c>
      <c r="S3" t="b">
        <f t="shared" ref="S3:S25" si="4">M3 &lt; $Q$8</f>
        <v>0</v>
      </c>
      <c r="T3" t="b">
        <f t="shared" ref="T3:T25" si="5">M3 &gt; $Q$10</f>
        <v>0</v>
      </c>
      <c r="U3" s="10"/>
      <c r="V3" s="1">
        <v>2</v>
      </c>
      <c r="W3" s="2">
        <v>101.29999999999998</v>
      </c>
      <c r="X3" s="1">
        <v>6</v>
      </c>
      <c r="Z3" s="16"/>
      <c r="AA3" s="17"/>
      <c r="AC3" t="b">
        <f t="shared" ref="AC3:AC24" si="6">W3 &lt; $AA$8</f>
        <v>0</v>
      </c>
      <c r="AD3" t="b">
        <f t="shared" ref="AD3:AD24" si="7">W3 &gt; $AA$10</f>
        <v>0</v>
      </c>
      <c r="AF3">
        <v>3</v>
      </c>
      <c r="AG3" s="43">
        <v>97.399999999999977</v>
      </c>
      <c r="AH3" s="44">
        <v>6</v>
      </c>
    </row>
    <row r="4" spans="1:34" x14ac:dyDescent="0.25">
      <c r="A4" s="1">
        <v>3</v>
      </c>
      <c r="B4" s="2">
        <v>131.6</v>
      </c>
      <c r="C4" s="2">
        <f t="shared" si="0"/>
        <v>97.399999999999977</v>
      </c>
      <c r="D4" s="1">
        <v>4</v>
      </c>
      <c r="E4" s="1">
        <f t="shared" si="1"/>
        <v>6</v>
      </c>
      <c r="G4" s="6" t="s">
        <v>24</v>
      </c>
      <c r="H4" s="7">
        <f>H1</f>
        <v>7.5</v>
      </c>
      <c r="J4" t="b">
        <f t="shared" si="2"/>
        <v>0</v>
      </c>
      <c r="K4" s="10"/>
      <c r="L4" s="1">
        <v>3</v>
      </c>
      <c r="M4" s="2">
        <v>97.399999999999977</v>
      </c>
      <c r="N4" s="1">
        <v>6</v>
      </c>
      <c r="P4" s="11" t="s">
        <v>24</v>
      </c>
      <c r="Q4" s="12">
        <f>Q1</f>
        <v>7.0625</v>
      </c>
      <c r="R4" t="b">
        <f t="shared" si="3"/>
        <v>0</v>
      </c>
      <c r="S4" t="b">
        <f t="shared" si="4"/>
        <v>0</v>
      </c>
      <c r="T4" t="b">
        <f t="shared" si="5"/>
        <v>0</v>
      </c>
      <c r="U4" s="10"/>
      <c r="V4" s="1">
        <v>3</v>
      </c>
      <c r="W4" s="2">
        <v>97.399999999999977</v>
      </c>
      <c r="X4" s="1">
        <v>6</v>
      </c>
      <c r="Z4" s="16"/>
      <c r="AA4" s="17"/>
      <c r="AC4" t="b">
        <f t="shared" si="6"/>
        <v>0</v>
      </c>
      <c r="AD4" t="b">
        <f t="shared" si="7"/>
        <v>0</v>
      </c>
      <c r="AF4">
        <v>4</v>
      </c>
      <c r="AG4" s="43">
        <v>97.25</v>
      </c>
      <c r="AH4" s="44">
        <v>6</v>
      </c>
    </row>
    <row r="5" spans="1:34" x14ac:dyDescent="0.25">
      <c r="A5" s="1">
        <v>4</v>
      </c>
      <c r="B5" s="2">
        <v>131.5</v>
      </c>
      <c r="C5" s="2">
        <f t="shared" si="0"/>
        <v>97.25</v>
      </c>
      <c r="D5" s="1">
        <v>4</v>
      </c>
      <c r="E5" s="1">
        <f t="shared" si="1"/>
        <v>6</v>
      </c>
      <c r="G5" s="6" t="s">
        <v>23</v>
      </c>
      <c r="H5" s="7">
        <f>(2.326+3*0.864)*H2</f>
        <v>15.857695614789337</v>
      </c>
      <c r="J5" t="b">
        <f t="shared" si="2"/>
        <v>0</v>
      </c>
      <c r="K5" s="10"/>
      <c r="L5" s="1">
        <v>4</v>
      </c>
      <c r="M5" s="2">
        <v>97.25</v>
      </c>
      <c r="N5" s="1">
        <v>6</v>
      </c>
      <c r="P5" s="11" t="s">
        <v>23</v>
      </c>
      <c r="Q5" s="12">
        <f>(2.326+3*0.864)*Q2</f>
        <v>14.932663370593293</v>
      </c>
      <c r="R5" t="b">
        <f t="shared" si="3"/>
        <v>0</v>
      </c>
      <c r="S5" t="b">
        <f t="shared" si="4"/>
        <v>0</v>
      </c>
      <c r="T5" t="b">
        <f t="shared" si="5"/>
        <v>0</v>
      </c>
      <c r="U5" s="10"/>
      <c r="V5" s="1">
        <v>4</v>
      </c>
      <c r="W5" s="2">
        <v>97.25</v>
      </c>
      <c r="X5" s="1">
        <v>6</v>
      </c>
      <c r="Z5" s="16"/>
      <c r="AA5" s="17"/>
      <c r="AC5" t="b">
        <f t="shared" si="6"/>
        <v>0</v>
      </c>
      <c r="AD5" t="b">
        <f t="shared" si="7"/>
        <v>0</v>
      </c>
      <c r="AF5">
        <v>5</v>
      </c>
      <c r="AG5" s="43">
        <v>102.5</v>
      </c>
      <c r="AH5" s="44">
        <v>7.5</v>
      </c>
    </row>
    <row r="6" spans="1:34" x14ac:dyDescent="0.25">
      <c r="A6" s="1">
        <v>5</v>
      </c>
      <c r="B6" s="2">
        <v>135</v>
      </c>
      <c r="C6" s="2">
        <f t="shared" si="0"/>
        <v>102.5</v>
      </c>
      <c r="D6" s="1">
        <v>5</v>
      </c>
      <c r="E6" s="1">
        <f t="shared" si="1"/>
        <v>7.5</v>
      </c>
      <c r="J6" t="b">
        <f t="shared" si="2"/>
        <v>0</v>
      </c>
      <c r="K6" s="10"/>
      <c r="L6" s="1">
        <v>5</v>
      </c>
      <c r="M6" s="2">
        <v>102.5</v>
      </c>
      <c r="N6" s="1">
        <v>7.5</v>
      </c>
      <c r="P6" s="13"/>
      <c r="Q6" s="13"/>
      <c r="R6" t="b">
        <f t="shared" si="3"/>
        <v>0</v>
      </c>
      <c r="S6" t="b">
        <f t="shared" si="4"/>
        <v>0</v>
      </c>
      <c r="T6" t="b">
        <f t="shared" si="5"/>
        <v>0</v>
      </c>
      <c r="U6" s="10"/>
      <c r="V6" s="1">
        <v>5</v>
      </c>
      <c r="W6" s="2">
        <v>102.5</v>
      </c>
      <c r="X6" s="1">
        <v>7.5</v>
      </c>
      <c r="Z6" s="13"/>
      <c r="AA6" s="13"/>
      <c r="AC6" t="b">
        <f t="shared" si="6"/>
        <v>0</v>
      </c>
      <c r="AD6" t="b">
        <f t="shared" si="7"/>
        <v>0</v>
      </c>
      <c r="AF6">
        <v>6</v>
      </c>
      <c r="AG6" s="43">
        <v>101.14999999999998</v>
      </c>
      <c r="AH6" s="44">
        <v>9</v>
      </c>
    </row>
    <row r="7" spans="1:34" x14ac:dyDescent="0.25">
      <c r="A7" s="1">
        <v>6</v>
      </c>
      <c r="B7" s="2">
        <v>134.1</v>
      </c>
      <c r="C7" s="2">
        <f t="shared" si="0"/>
        <v>101.14999999999998</v>
      </c>
      <c r="D7" s="1">
        <v>6</v>
      </c>
      <c r="E7" s="1">
        <f t="shared" si="1"/>
        <v>9</v>
      </c>
      <c r="G7" s="6"/>
      <c r="H7" s="7"/>
      <c r="J7" t="b">
        <f t="shared" si="2"/>
        <v>0</v>
      </c>
      <c r="K7" s="10"/>
      <c r="L7" s="1">
        <v>6</v>
      </c>
      <c r="M7" s="2">
        <v>101.14999999999998</v>
      </c>
      <c r="N7" s="1">
        <v>9</v>
      </c>
      <c r="P7" s="6" t="s">
        <v>29</v>
      </c>
      <c r="Q7" s="7">
        <f>AVERAGE(M2:M25)</f>
        <v>101.02499999999999</v>
      </c>
      <c r="R7" t="b">
        <f t="shared" si="3"/>
        <v>0</v>
      </c>
      <c r="S7" t="b">
        <f t="shared" si="4"/>
        <v>0</v>
      </c>
      <c r="T7" t="b">
        <f t="shared" si="5"/>
        <v>0</v>
      </c>
      <c r="U7" s="10"/>
      <c r="V7" s="1">
        <v>6</v>
      </c>
      <c r="W7" s="2">
        <v>101.14999999999998</v>
      </c>
      <c r="X7" s="1">
        <v>9</v>
      </c>
      <c r="Z7" s="11" t="s">
        <v>29</v>
      </c>
      <c r="AA7" s="12">
        <f>AVERAGE(W2:W24)</f>
        <v>100.5695652173913</v>
      </c>
      <c r="AC7" t="b">
        <f t="shared" si="6"/>
        <v>0</v>
      </c>
      <c r="AD7" t="b">
        <f t="shared" si="7"/>
        <v>0</v>
      </c>
      <c r="AF7">
        <v>7</v>
      </c>
      <c r="AG7" s="43">
        <v>98.899999999999977</v>
      </c>
      <c r="AH7" s="44">
        <v>6</v>
      </c>
    </row>
    <row r="8" spans="1:34" x14ac:dyDescent="0.25">
      <c r="A8" s="1">
        <v>7</v>
      </c>
      <c r="B8" s="2">
        <v>132.6</v>
      </c>
      <c r="C8" s="2">
        <f t="shared" si="0"/>
        <v>98.899999999999977</v>
      </c>
      <c r="D8" s="1">
        <v>4</v>
      </c>
      <c r="E8" s="1">
        <f t="shared" si="1"/>
        <v>6</v>
      </c>
      <c r="G8" s="6"/>
      <c r="H8" s="9"/>
      <c r="J8" t="b">
        <f t="shared" si="2"/>
        <v>0</v>
      </c>
      <c r="K8" s="10"/>
      <c r="L8" s="1">
        <v>7</v>
      </c>
      <c r="M8" s="2">
        <v>98.899999999999977</v>
      </c>
      <c r="N8" s="1">
        <v>6</v>
      </c>
      <c r="P8" s="6" t="s">
        <v>28</v>
      </c>
      <c r="Q8" s="7">
        <f>Q7-3*Q2/SQRT(5)</f>
        <v>96.951337895676971</v>
      </c>
      <c r="R8" t="b">
        <f t="shared" si="3"/>
        <v>0</v>
      </c>
      <c r="S8" t="b">
        <f t="shared" si="4"/>
        <v>0</v>
      </c>
      <c r="T8" t="b">
        <f t="shared" si="5"/>
        <v>0</v>
      </c>
      <c r="U8" s="10"/>
      <c r="V8" s="1">
        <v>7</v>
      </c>
      <c r="W8" s="2">
        <v>98.899999999999977</v>
      </c>
      <c r="X8" s="1">
        <v>6</v>
      </c>
      <c r="Z8" s="11" t="s">
        <v>28</v>
      </c>
      <c r="AA8" s="12">
        <f>AA7-3*Q2/SQRT(5)</f>
        <v>96.49590311306828</v>
      </c>
      <c r="AC8" t="b">
        <f t="shared" si="6"/>
        <v>0</v>
      </c>
      <c r="AD8" t="b">
        <f t="shared" si="7"/>
        <v>0</v>
      </c>
      <c r="AF8">
        <v>8</v>
      </c>
      <c r="AG8" s="43">
        <v>100.70000000000002</v>
      </c>
      <c r="AH8" s="44">
        <v>4.5</v>
      </c>
    </row>
    <row r="9" spans="1:34" x14ac:dyDescent="0.25">
      <c r="A9" s="1">
        <v>8</v>
      </c>
      <c r="B9" s="2">
        <v>133.80000000000001</v>
      </c>
      <c r="C9" s="2">
        <f t="shared" si="0"/>
        <v>100.70000000000002</v>
      </c>
      <c r="D9" s="1">
        <v>3</v>
      </c>
      <c r="E9" s="1">
        <f t="shared" si="1"/>
        <v>4.5</v>
      </c>
      <c r="G9" s="6"/>
      <c r="H9" s="7"/>
      <c r="J9" t="b">
        <f t="shared" si="2"/>
        <v>0</v>
      </c>
      <c r="K9" s="10"/>
      <c r="L9" s="1">
        <v>8</v>
      </c>
      <c r="M9" s="2">
        <v>100.70000000000002</v>
      </c>
      <c r="N9" s="1">
        <v>4.5</v>
      </c>
      <c r="P9" s="6" t="s">
        <v>27</v>
      </c>
      <c r="Q9" s="7">
        <f>Q7</f>
        <v>101.02499999999999</v>
      </c>
      <c r="R9" t="b">
        <f t="shared" si="3"/>
        <v>0</v>
      </c>
      <c r="S9" t="b">
        <f t="shared" si="4"/>
        <v>0</v>
      </c>
      <c r="T9" t="b">
        <f t="shared" si="5"/>
        <v>0</v>
      </c>
      <c r="U9" s="10"/>
      <c r="V9" s="1">
        <v>8</v>
      </c>
      <c r="W9" s="2">
        <v>100.70000000000002</v>
      </c>
      <c r="X9" s="1">
        <v>4.5</v>
      </c>
      <c r="Z9" s="11" t="s">
        <v>27</v>
      </c>
      <c r="AA9" s="12">
        <f>AA7</f>
        <v>100.5695652173913</v>
      </c>
      <c r="AC9" t="b">
        <f t="shared" si="6"/>
        <v>0</v>
      </c>
      <c r="AD9" t="b">
        <f t="shared" si="7"/>
        <v>0</v>
      </c>
      <c r="AF9">
        <v>9</v>
      </c>
      <c r="AG9" s="43">
        <v>102.20000000000002</v>
      </c>
      <c r="AH9" s="44">
        <v>10.5</v>
      </c>
    </row>
    <row r="10" spans="1:34" x14ac:dyDescent="0.25">
      <c r="A10" s="1">
        <v>9</v>
      </c>
      <c r="B10" s="2">
        <v>134.80000000000001</v>
      </c>
      <c r="C10" s="2">
        <f t="shared" si="0"/>
        <v>102.20000000000002</v>
      </c>
      <c r="D10" s="1">
        <v>7</v>
      </c>
      <c r="E10" s="1">
        <f t="shared" si="1"/>
        <v>10.5</v>
      </c>
      <c r="G10" s="6"/>
      <c r="H10" s="7"/>
      <c r="J10" t="b">
        <f t="shared" si="2"/>
        <v>0</v>
      </c>
      <c r="K10" s="10"/>
      <c r="L10" s="1">
        <v>9</v>
      </c>
      <c r="M10" s="2">
        <v>102.20000000000002</v>
      </c>
      <c r="N10" s="1">
        <v>10.5</v>
      </c>
      <c r="P10" s="6" t="s">
        <v>26</v>
      </c>
      <c r="Q10" s="7">
        <f>Q7+3*Q2/SQRT(5)</f>
        <v>105.09866210432301</v>
      </c>
      <c r="R10" t="b">
        <f t="shared" si="3"/>
        <v>0</v>
      </c>
      <c r="S10" t="b">
        <f t="shared" si="4"/>
        <v>0</v>
      </c>
      <c r="T10" t="b">
        <f t="shared" si="5"/>
        <v>0</v>
      </c>
      <c r="U10" s="10"/>
      <c r="V10" s="1">
        <v>9</v>
      </c>
      <c r="W10" s="2">
        <v>102.20000000000002</v>
      </c>
      <c r="X10" s="1">
        <v>10.5</v>
      </c>
      <c r="Z10" s="11" t="s">
        <v>26</v>
      </c>
      <c r="AA10" s="12">
        <f>AA7+3*Q2/SQRT(5)</f>
        <v>104.64322732171432</v>
      </c>
      <c r="AC10" t="b">
        <f t="shared" si="6"/>
        <v>0</v>
      </c>
      <c r="AD10" t="b">
        <f t="shared" si="7"/>
        <v>0</v>
      </c>
      <c r="AF10">
        <v>10</v>
      </c>
      <c r="AG10" s="43">
        <v>101</v>
      </c>
      <c r="AH10" s="44">
        <v>18</v>
      </c>
    </row>
    <row r="11" spans="1:34" x14ac:dyDescent="0.25">
      <c r="A11" s="1">
        <v>10</v>
      </c>
      <c r="B11" s="2">
        <v>134</v>
      </c>
      <c r="C11" s="2">
        <f t="shared" si="0"/>
        <v>101</v>
      </c>
      <c r="D11" s="31">
        <v>12</v>
      </c>
      <c r="E11" s="9">
        <f t="shared" si="1"/>
        <v>18</v>
      </c>
      <c r="J11" s="8" t="b">
        <f t="shared" si="2"/>
        <v>1</v>
      </c>
      <c r="K11" s="10"/>
      <c r="L11" s="1">
        <v>11</v>
      </c>
      <c r="M11" s="2">
        <v>100.39999999999998</v>
      </c>
      <c r="N11" s="1">
        <v>12</v>
      </c>
      <c r="R11" t="b">
        <f t="shared" si="3"/>
        <v>0</v>
      </c>
      <c r="S11" t="b">
        <f t="shared" si="4"/>
        <v>0</v>
      </c>
      <c r="T11" t="b">
        <f t="shared" si="5"/>
        <v>0</v>
      </c>
      <c r="U11" s="10"/>
      <c r="V11" s="1">
        <v>11</v>
      </c>
      <c r="W11" s="2">
        <v>100.39999999999998</v>
      </c>
      <c r="X11" s="1">
        <v>12</v>
      </c>
      <c r="AC11" t="b">
        <f t="shared" si="6"/>
        <v>0</v>
      </c>
      <c r="AD11" t="b">
        <f t="shared" si="7"/>
        <v>0</v>
      </c>
      <c r="AF11">
        <v>11</v>
      </c>
      <c r="AG11" s="43">
        <v>100.39999999999998</v>
      </c>
      <c r="AH11" s="44">
        <v>12</v>
      </c>
    </row>
    <row r="12" spans="1:34" x14ac:dyDescent="0.25">
      <c r="A12" s="1">
        <v>11</v>
      </c>
      <c r="B12" s="2">
        <v>133.6</v>
      </c>
      <c r="C12" s="2">
        <f t="shared" si="0"/>
        <v>100.39999999999998</v>
      </c>
      <c r="D12" s="1">
        <v>8</v>
      </c>
      <c r="E12" s="1">
        <f t="shared" si="1"/>
        <v>12</v>
      </c>
      <c r="J12" t="b">
        <f t="shared" si="2"/>
        <v>0</v>
      </c>
      <c r="K12" s="10"/>
      <c r="L12" s="1">
        <v>12</v>
      </c>
      <c r="M12" s="2">
        <v>97.850000000000023</v>
      </c>
      <c r="N12" s="1">
        <v>4.5</v>
      </c>
      <c r="R12" t="b">
        <f t="shared" si="3"/>
        <v>0</v>
      </c>
      <c r="S12" t="b">
        <f t="shared" si="4"/>
        <v>0</v>
      </c>
      <c r="T12" t="b">
        <f t="shared" si="5"/>
        <v>0</v>
      </c>
      <c r="U12" s="10"/>
      <c r="V12" s="1">
        <v>12</v>
      </c>
      <c r="W12" s="2">
        <v>97.850000000000023</v>
      </c>
      <c r="X12" s="1">
        <v>4.5</v>
      </c>
      <c r="AC12" t="b">
        <f t="shared" si="6"/>
        <v>0</v>
      </c>
      <c r="AD12" t="b">
        <f t="shared" si="7"/>
        <v>0</v>
      </c>
      <c r="AF12">
        <v>12</v>
      </c>
      <c r="AG12" s="43">
        <v>97.850000000000023</v>
      </c>
      <c r="AH12" s="44">
        <v>4.5</v>
      </c>
    </row>
    <row r="13" spans="1:34" x14ac:dyDescent="0.25">
      <c r="A13" s="1">
        <v>12</v>
      </c>
      <c r="B13" s="2">
        <v>131.9</v>
      </c>
      <c r="C13" s="2">
        <f t="shared" si="0"/>
        <v>97.850000000000023</v>
      </c>
      <c r="D13" s="1">
        <v>3</v>
      </c>
      <c r="E13" s="1">
        <f t="shared" si="1"/>
        <v>4.5</v>
      </c>
      <c r="J13" t="b">
        <f t="shared" si="2"/>
        <v>0</v>
      </c>
      <c r="K13" s="10"/>
      <c r="L13" s="1">
        <v>13</v>
      </c>
      <c r="M13" s="7">
        <v>111.5</v>
      </c>
      <c r="N13" s="1">
        <v>13.5</v>
      </c>
      <c r="P13" s="11"/>
      <c r="Q13" s="12"/>
      <c r="R13" t="b">
        <f t="shared" si="3"/>
        <v>0</v>
      </c>
      <c r="S13" s="8" t="b">
        <f t="shared" si="4"/>
        <v>0</v>
      </c>
      <c r="T13" s="8" t="b">
        <f t="shared" si="5"/>
        <v>1</v>
      </c>
      <c r="U13" s="10"/>
      <c r="V13" s="1">
        <v>14</v>
      </c>
      <c r="W13" s="2">
        <v>103.10000000000002</v>
      </c>
      <c r="X13" s="1">
        <v>12</v>
      </c>
      <c r="Z13" s="11"/>
      <c r="AA13" s="12"/>
      <c r="AC13" t="b">
        <f t="shared" si="6"/>
        <v>0</v>
      </c>
      <c r="AD13" t="b">
        <f t="shared" si="7"/>
        <v>0</v>
      </c>
      <c r="AF13">
        <v>13</v>
      </c>
      <c r="AG13" s="43">
        <v>111.5</v>
      </c>
      <c r="AH13" s="44">
        <v>13.5</v>
      </c>
    </row>
    <row r="14" spans="1:34" x14ac:dyDescent="0.25">
      <c r="A14" s="1">
        <v>13</v>
      </c>
      <c r="B14" s="2">
        <v>141</v>
      </c>
      <c r="C14" s="2">
        <f t="shared" si="0"/>
        <v>111.5</v>
      </c>
      <c r="D14" s="1">
        <v>9</v>
      </c>
      <c r="E14" s="1">
        <f t="shared" si="1"/>
        <v>13.5</v>
      </c>
      <c r="J14" t="b">
        <f t="shared" si="2"/>
        <v>0</v>
      </c>
      <c r="K14" s="10"/>
      <c r="L14" s="1">
        <v>14</v>
      </c>
      <c r="M14" s="2">
        <v>103.10000000000002</v>
      </c>
      <c r="N14" s="1">
        <v>12</v>
      </c>
      <c r="P14" s="11"/>
      <c r="Q14" s="14"/>
      <c r="R14" t="b">
        <f t="shared" si="3"/>
        <v>0</v>
      </c>
      <c r="S14" t="b">
        <f t="shared" si="4"/>
        <v>0</v>
      </c>
      <c r="T14" t="b">
        <f t="shared" si="5"/>
        <v>0</v>
      </c>
      <c r="U14" s="10"/>
      <c r="V14" s="1">
        <v>15</v>
      </c>
      <c r="W14" s="2">
        <v>101</v>
      </c>
      <c r="X14" s="1">
        <v>9</v>
      </c>
      <c r="Z14" s="11"/>
      <c r="AA14" s="14"/>
      <c r="AC14" t="b">
        <f t="shared" si="6"/>
        <v>0</v>
      </c>
      <c r="AD14" t="b">
        <f t="shared" si="7"/>
        <v>0</v>
      </c>
      <c r="AF14">
        <v>14</v>
      </c>
      <c r="AG14" s="43">
        <v>103.10000000000002</v>
      </c>
      <c r="AH14" s="44">
        <v>12</v>
      </c>
    </row>
    <row r="15" spans="1:34" x14ac:dyDescent="0.25">
      <c r="A15" s="1">
        <v>14</v>
      </c>
      <c r="B15" s="2">
        <v>135.4</v>
      </c>
      <c r="C15" s="2">
        <f t="shared" si="0"/>
        <v>103.10000000000002</v>
      </c>
      <c r="D15" s="1">
        <v>8</v>
      </c>
      <c r="E15" s="1">
        <f t="shared" si="1"/>
        <v>12</v>
      </c>
      <c r="J15" t="b">
        <f t="shared" si="2"/>
        <v>0</v>
      </c>
      <c r="K15" s="10"/>
      <c r="L15" s="1">
        <v>15</v>
      </c>
      <c r="M15" s="2">
        <v>101</v>
      </c>
      <c r="N15" s="1">
        <v>9</v>
      </c>
      <c r="R15" t="b">
        <f t="shared" si="3"/>
        <v>0</v>
      </c>
      <c r="S15" t="b">
        <f t="shared" si="4"/>
        <v>0</v>
      </c>
      <c r="T15" t="b">
        <f t="shared" si="5"/>
        <v>0</v>
      </c>
      <c r="U15" s="10"/>
      <c r="V15" s="1">
        <v>16</v>
      </c>
      <c r="W15" s="2">
        <v>102.5</v>
      </c>
      <c r="X15" s="1">
        <v>7.5</v>
      </c>
      <c r="AC15" t="b">
        <f t="shared" si="6"/>
        <v>0</v>
      </c>
      <c r="AD15" t="b">
        <f t="shared" si="7"/>
        <v>0</v>
      </c>
      <c r="AF15">
        <v>15</v>
      </c>
      <c r="AG15" s="43">
        <v>101</v>
      </c>
      <c r="AH15" s="44">
        <v>9</v>
      </c>
    </row>
    <row r="16" spans="1:34" x14ac:dyDescent="0.25">
      <c r="A16" s="1">
        <v>15</v>
      </c>
      <c r="B16" s="2">
        <v>134</v>
      </c>
      <c r="C16" s="2">
        <f t="shared" si="0"/>
        <v>101</v>
      </c>
      <c r="D16" s="1">
        <v>6</v>
      </c>
      <c r="E16" s="1">
        <f t="shared" si="1"/>
        <v>9</v>
      </c>
      <c r="J16" t="b">
        <f t="shared" si="2"/>
        <v>0</v>
      </c>
      <c r="K16" s="10"/>
      <c r="L16" s="1">
        <v>16</v>
      </c>
      <c r="M16" s="2">
        <v>102.5</v>
      </c>
      <c r="N16" s="1">
        <v>7.5</v>
      </c>
      <c r="R16" t="b">
        <f t="shared" si="3"/>
        <v>0</v>
      </c>
      <c r="S16" t="b">
        <f t="shared" si="4"/>
        <v>0</v>
      </c>
      <c r="T16" t="b">
        <f t="shared" si="5"/>
        <v>0</v>
      </c>
      <c r="U16" s="10"/>
      <c r="V16" s="1">
        <v>17</v>
      </c>
      <c r="W16" s="2">
        <v>102.35000000000002</v>
      </c>
      <c r="X16" s="1">
        <v>10.5</v>
      </c>
      <c r="AC16" t="b">
        <f t="shared" si="6"/>
        <v>0</v>
      </c>
      <c r="AD16" t="b">
        <f t="shared" si="7"/>
        <v>0</v>
      </c>
      <c r="AF16">
        <v>16</v>
      </c>
      <c r="AG16" s="43">
        <v>102.5</v>
      </c>
      <c r="AH16" s="44">
        <v>7.5</v>
      </c>
    </row>
    <row r="17" spans="1:34" x14ac:dyDescent="0.25">
      <c r="A17" s="1">
        <v>16</v>
      </c>
      <c r="B17" s="2">
        <v>135</v>
      </c>
      <c r="C17" s="2">
        <f t="shared" si="0"/>
        <v>102.5</v>
      </c>
      <c r="D17" s="1">
        <v>5</v>
      </c>
      <c r="E17" s="1">
        <f t="shared" si="1"/>
        <v>7.5</v>
      </c>
      <c r="J17" t="b">
        <f t="shared" si="2"/>
        <v>0</v>
      </c>
      <c r="K17" s="10"/>
      <c r="L17" s="1">
        <v>17</v>
      </c>
      <c r="M17" s="2">
        <v>102.35000000000002</v>
      </c>
      <c r="N17" s="1">
        <v>10.5</v>
      </c>
      <c r="R17" t="b">
        <f t="shared" si="3"/>
        <v>0</v>
      </c>
      <c r="S17" t="b">
        <f t="shared" si="4"/>
        <v>0</v>
      </c>
      <c r="T17" t="b">
        <f t="shared" si="5"/>
        <v>0</v>
      </c>
      <c r="U17" s="10"/>
      <c r="V17" s="1">
        <v>18</v>
      </c>
      <c r="W17" s="2">
        <v>100.25</v>
      </c>
      <c r="X17" s="1">
        <v>6</v>
      </c>
      <c r="AC17" t="b">
        <f t="shared" si="6"/>
        <v>0</v>
      </c>
      <c r="AD17" t="b">
        <f t="shared" si="7"/>
        <v>0</v>
      </c>
      <c r="AF17">
        <v>17</v>
      </c>
      <c r="AG17" s="43">
        <v>102.35000000000002</v>
      </c>
      <c r="AH17" s="44">
        <v>10.5</v>
      </c>
    </row>
    <row r="18" spans="1:34" x14ac:dyDescent="0.25">
      <c r="A18" s="1">
        <v>17</v>
      </c>
      <c r="B18" s="2">
        <v>134.9</v>
      </c>
      <c r="C18" s="2">
        <f t="shared" si="0"/>
        <v>102.35000000000002</v>
      </c>
      <c r="D18" s="1">
        <v>7</v>
      </c>
      <c r="E18" s="1">
        <f t="shared" si="1"/>
        <v>10.5</v>
      </c>
      <c r="J18" t="b">
        <f t="shared" si="2"/>
        <v>0</v>
      </c>
      <c r="K18" s="10"/>
      <c r="L18" s="1">
        <v>18</v>
      </c>
      <c r="M18" s="2">
        <v>100.25</v>
      </c>
      <c r="N18" s="1">
        <v>6</v>
      </c>
      <c r="R18" t="b">
        <f t="shared" si="3"/>
        <v>0</v>
      </c>
      <c r="S18" t="b">
        <f t="shared" si="4"/>
        <v>0</v>
      </c>
      <c r="T18" t="b">
        <f t="shared" si="5"/>
        <v>0</v>
      </c>
      <c r="U18" s="10"/>
      <c r="V18" s="1">
        <v>19</v>
      </c>
      <c r="W18" s="2">
        <v>97.549999999999983</v>
      </c>
      <c r="X18" s="1">
        <v>4.5</v>
      </c>
      <c r="AC18" t="b">
        <f t="shared" si="6"/>
        <v>0</v>
      </c>
      <c r="AD18" t="b">
        <f t="shared" si="7"/>
        <v>0</v>
      </c>
      <c r="AF18">
        <v>18</v>
      </c>
      <c r="AG18" s="43">
        <v>100.25</v>
      </c>
      <c r="AH18" s="44">
        <v>6</v>
      </c>
    </row>
    <row r="19" spans="1:34" x14ac:dyDescent="0.25">
      <c r="A19" s="1">
        <v>18</v>
      </c>
      <c r="B19" s="2">
        <v>133.5</v>
      </c>
      <c r="C19" s="2">
        <f t="shared" si="0"/>
        <v>100.25</v>
      </c>
      <c r="D19" s="1">
        <v>4</v>
      </c>
      <c r="E19" s="1">
        <f t="shared" si="1"/>
        <v>6</v>
      </c>
      <c r="J19" t="b">
        <f t="shared" si="2"/>
        <v>0</v>
      </c>
      <c r="K19" s="10"/>
      <c r="L19" s="1">
        <v>19</v>
      </c>
      <c r="M19" s="2">
        <v>97.549999999999983</v>
      </c>
      <c r="N19" s="1">
        <v>4.5</v>
      </c>
      <c r="R19" t="b">
        <f t="shared" si="3"/>
        <v>0</v>
      </c>
      <c r="S19" t="b">
        <f t="shared" si="4"/>
        <v>0</v>
      </c>
      <c r="T19" t="b">
        <f t="shared" si="5"/>
        <v>0</v>
      </c>
      <c r="U19" s="10"/>
      <c r="V19" s="1">
        <v>20</v>
      </c>
      <c r="W19" s="2">
        <v>101</v>
      </c>
      <c r="X19" s="1">
        <v>12</v>
      </c>
      <c r="AC19" t="b">
        <f t="shared" si="6"/>
        <v>0</v>
      </c>
      <c r="AD19" t="b">
        <f t="shared" si="7"/>
        <v>0</v>
      </c>
      <c r="AF19">
        <v>19</v>
      </c>
      <c r="AG19" s="43">
        <v>97.549999999999983</v>
      </c>
      <c r="AH19" s="44">
        <v>4.5</v>
      </c>
    </row>
    <row r="20" spans="1:34" x14ac:dyDescent="0.25">
      <c r="A20" s="1">
        <v>19</v>
      </c>
      <c r="B20" s="2">
        <v>131.69999999999999</v>
      </c>
      <c r="C20" s="2">
        <f t="shared" si="0"/>
        <v>97.549999999999983</v>
      </c>
      <c r="D20" s="1">
        <v>3</v>
      </c>
      <c r="E20" s="1">
        <f t="shared" si="1"/>
        <v>4.5</v>
      </c>
      <c r="J20" t="b">
        <f t="shared" si="2"/>
        <v>0</v>
      </c>
      <c r="K20" s="10"/>
      <c r="L20" s="1">
        <v>20</v>
      </c>
      <c r="M20" s="2">
        <v>101</v>
      </c>
      <c r="N20" s="1">
        <v>12</v>
      </c>
      <c r="R20" t="b">
        <f t="shared" si="3"/>
        <v>0</v>
      </c>
      <c r="S20" t="b">
        <f t="shared" si="4"/>
        <v>0</v>
      </c>
      <c r="T20" t="b">
        <f t="shared" si="5"/>
        <v>0</v>
      </c>
      <c r="U20" s="10"/>
      <c r="V20" s="1">
        <v>21</v>
      </c>
      <c r="W20" s="2">
        <v>102.64999999999998</v>
      </c>
      <c r="X20" s="1">
        <v>6</v>
      </c>
      <c r="AC20" t="b">
        <f t="shared" si="6"/>
        <v>0</v>
      </c>
      <c r="AD20" t="b">
        <f t="shared" si="7"/>
        <v>0</v>
      </c>
      <c r="AF20">
        <v>20</v>
      </c>
      <c r="AG20" s="43">
        <v>101</v>
      </c>
      <c r="AH20" s="44">
        <v>12</v>
      </c>
    </row>
    <row r="21" spans="1:34" x14ac:dyDescent="0.25">
      <c r="A21" s="1">
        <v>20</v>
      </c>
      <c r="B21" s="2">
        <v>134</v>
      </c>
      <c r="C21" s="2">
        <f t="shared" si="0"/>
        <v>101</v>
      </c>
      <c r="D21" s="1">
        <v>8</v>
      </c>
      <c r="E21" s="1">
        <f t="shared" si="1"/>
        <v>12</v>
      </c>
      <c r="J21" t="b">
        <f t="shared" si="2"/>
        <v>0</v>
      </c>
      <c r="K21" s="10"/>
      <c r="L21" s="1">
        <v>21</v>
      </c>
      <c r="M21" s="2">
        <v>102.64999999999998</v>
      </c>
      <c r="N21" s="1">
        <v>6</v>
      </c>
      <c r="R21" t="b">
        <f t="shared" si="3"/>
        <v>0</v>
      </c>
      <c r="S21" t="b">
        <f t="shared" si="4"/>
        <v>0</v>
      </c>
      <c r="T21" t="b">
        <f t="shared" si="5"/>
        <v>0</v>
      </c>
      <c r="U21" s="10"/>
      <c r="V21" s="1">
        <v>22</v>
      </c>
      <c r="W21" s="2">
        <v>100.54999999999998</v>
      </c>
      <c r="X21" s="1">
        <v>3</v>
      </c>
      <c r="AC21" t="b">
        <f t="shared" si="6"/>
        <v>0</v>
      </c>
      <c r="AD21" t="b">
        <f t="shared" si="7"/>
        <v>0</v>
      </c>
      <c r="AF21">
        <v>21</v>
      </c>
      <c r="AG21" s="43">
        <v>102.64999999999998</v>
      </c>
      <c r="AH21" s="44">
        <v>6</v>
      </c>
    </row>
    <row r="22" spans="1:34" x14ac:dyDescent="0.25">
      <c r="A22" s="1">
        <v>21</v>
      </c>
      <c r="B22" s="2">
        <v>135.1</v>
      </c>
      <c r="C22" s="2">
        <f t="shared" si="0"/>
        <v>102.64999999999998</v>
      </c>
      <c r="D22" s="1">
        <v>4</v>
      </c>
      <c r="E22" s="1">
        <f t="shared" si="1"/>
        <v>6</v>
      </c>
      <c r="J22" t="b">
        <f t="shared" si="2"/>
        <v>0</v>
      </c>
      <c r="K22" s="10"/>
      <c r="L22" s="1">
        <v>22</v>
      </c>
      <c r="M22" s="2">
        <v>100.54999999999998</v>
      </c>
      <c r="N22" s="1">
        <v>3</v>
      </c>
      <c r="R22" t="b">
        <f t="shared" si="3"/>
        <v>0</v>
      </c>
      <c r="S22" t="b">
        <f t="shared" si="4"/>
        <v>0</v>
      </c>
      <c r="T22" t="b">
        <f t="shared" si="5"/>
        <v>0</v>
      </c>
      <c r="U22" s="10"/>
      <c r="V22" s="1">
        <v>23</v>
      </c>
      <c r="W22" s="2">
        <v>99.200000000000017</v>
      </c>
      <c r="X22" s="1">
        <v>1.5</v>
      </c>
      <c r="AC22" t="b">
        <f t="shared" si="6"/>
        <v>0</v>
      </c>
      <c r="AD22" t="b">
        <f t="shared" si="7"/>
        <v>0</v>
      </c>
      <c r="AF22">
        <v>22</v>
      </c>
      <c r="AG22" s="43">
        <v>100.54999999999998</v>
      </c>
      <c r="AH22" s="44">
        <v>3</v>
      </c>
    </row>
    <row r="23" spans="1:34" x14ac:dyDescent="0.25">
      <c r="A23" s="1">
        <v>22</v>
      </c>
      <c r="B23" s="2">
        <v>133.69999999999999</v>
      </c>
      <c r="C23" s="2">
        <f t="shared" si="0"/>
        <v>100.54999999999998</v>
      </c>
      <c r="D23" s="1">
        <v>2</v>
      </c>
      <c r="E23" s="1">
        <f t="shared" si="1"/>
        <v>3</v>
      </c>
      <c r="J23" t="b">
        <f t="shared" si="2"/>
        <v>0</v>
      </c>
      <c r="K23" s="10"/>
      <c r="L23" s="1">
        <v>23</v>
      </c>
      <c r="M23" s="2">
        <v>99.200000000000017</v>
      </c>
      <c r="N23" s="1">
        <v>1.5</v>
      </c>
      <c r="R23" t="b">
        <f t="shared" si="3"/>
        <v>0</v>
      </c>
      <c r="S23" t="b">
        <f t="shared" si="4"/>
        <v>0</v>
      </c>
      <c r="T23" t="b">
        <f t="shared" si="5"/>
        <v>0</v>
      </c>
      <c r="U23" s="10"/>
      <c r="V23" s="1">
        <v>24</v>
      </c>
      <c r="W23" s="2">
        <v>100.25</v>
      </c>
      <c r="X23" s="1">
        <v>4.5</v>
      </c>
      <c r="AC23" t="b">
        <f t="shared" si="6"/>
        <v>0</v>
      </c>
      <c r="AD23" t="b">
        <f t="shared" si="7"/>
        <v>0</v>
      </c>
      <c r="AF23">
        <v>23</v>
      </c>
      <c r="AG23" s="43">
        <v>99.200000000000017</v>
      </c>
      <c r="AH23" s="44">
        <v>1.5</v>
      </c>
    </row>
    <row r="24" spans="1:34" x14ac:dyDescent="0.25">
      <c r="A24" s="1">
        <v>23</v>
      </c>
      <c r="B24" s="2">
        <v>132.80000000000001</v>
      </c>
      <c r="C24" s="2">
        <f t="shared" si="0"/>
        <v>99.200000000000017</v>
      </c>
      <c r="D24" s="1">
        <v>1</v>
      </c>
      <c r="E24" s="1">
        <f t="shared" si="1"/>
        <v>1.5</v>
      </c>
      <c r="J24" t="b">
        <f t="shared" si="2"/>
        <v>0</v>
      </c>
      <c r="K24" s="10"/>
      <c r="L24" s="1">
        <v>24</v>
      </c>
      <c r="M24" s="2">
        <v>100.25</v>
      </c>
      <c r="N24" s="1">
        <v>4.5</v>
      </c>
      <c r="R24" t="b">
        <f t="shared" si="3"/>
        <v>0</v>
      </c>
      <c r="S24" t="b">
        <f t="shared" si="4"/>
        <v>0</v>
      </c>
      <c r="T24" t="b">
        <f t="shared" si="5"/>
        <v>0</v>
      </c>
      <c r="U24" s="10"/>
      <c r="V24" s="1">
        <v>25</v>
      </c>
      <c r="W24" s="1">
        <v>101.29999999999998</v>
      </c>
      <c r="X24" s="1">
        <v>3</v>
      </c>
      <c r="AC24" t="b">
        <f t="shared" si="6"/>
        <v>0</v>
      </c>
      <c r="AD24" t="b">
        <f t="shared" si="7"/>
        <v>0</v>
      </c>
      <c r="AF24">
        <v>24</v>
      </c>
      <c r="AG24" s="43">
        <v>100.25</v>
      </c>
      <c r="AH24" s="44">
        <v>4.5</v>
      </c>
    </row>
    <row r="25" spans="1:34" x14ac:dyDescent="0.25">
      <c r="A25" s="1">
        <v>24</v>
      </c>
      <c r="B25" s="2">
        <v>133.5</v>
      </c>
      <c r="C25" s="2">
        <f t="shared" si="0"/>
        <v>100.25</v>
      </c>
      <c r="D25" s="1">
        <v>3</v>
      </c>
      <c r="E25" s="1">
        <f t="shared" si="1"/>
        <v>4.5</v>
      </c>
      <c r="J25" t="b">
        <f t="shared" si="2"/>
        <v>0</v>
      </c>
      <c r="K25" s="10"/>
      <c r="L25" s="1">
        <v>25</v>
      </c>
      <c r="M25" s="1">
        <v>101.29999999999998</v>
      </c>
      <c r="N25" s="1">
        <v>3</v>
      </c>
      <c r="R25" t="b">
        <f t="shared" si="3"/>
        <v>0</v>
      </c>
      <c r="S25" t="b">
        <f t="shared" si="4"/>
        <v>0</v>
      </c>
      <c r="T25" t="b">
        <f t="shared" si="5"/>
        <v>0</v>
      </c>
      <c r="U25" s="10"/>
      <c r="AF25">
        <v>25</v>
      </c>
      <c r="AG25" s="43">
        <v>101.29999999999998</v>
      </c>
      <c r="AH25" s="44">
        <v>3</v>
      </c>
    </row>
    <row r="26" spans="1:34" x14ac:dyDescent="0.25">
      <c r="A26" s="1">
        <v>25</v>
      </c>
      <c r="B26" s="1">
        <v>134.19999999999999</v>
      </c>
      <c r="C26" s="2">
        <f t="shared" si="0"/>
        <v>101.29999999999998</v>
      </c>
      <c r="D26" s="1">
        <v>2</v>
      </c>
      <c r="E26" s="1">
        <f t="shared" si="1"/>
        <v>3</v>
      </c>
      <c r="J26" t="b">
        <f t="shared" si="2"/>
        <v>0</v>
      </c>
      <c r="K26" s="10"/>
      <c r="AF26" t="s">
        <v>57</v>
      </c>
      <c r="AG26" s="43">
        <f>SUM(AG1:AG25)</f>
        <v>2525.6</v>
      </c>
      <c r="AH26" s="44">
        <f>SUM(AH1:AH25)</f>
        <v>187.5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L1" workbookViewId="0">
      <selection activeCell="X18" sqref="X18"/>
    </sheetView>
  </sheetViews>
  <sheetFormatPr defaultRowHeight="15" x14ac:dyDescent="0.25"/>
  <cols>
    <col min="1" max="3" width="14.5703125" style="1" customWidth="1"/>
    <col min="4" max="4" width="2" customWidth="1"/>
    <col min="5" max="5" width="15.140625" customWidth="1"/>
    <col min="7" max="7" width="2.42578125" customWidth="1"/>
    <col min="8" max="8" width="10.42578125" customWidth="1"/>
    <col min="9" max="9" width="2.7109375" customWidth="1"/>
    <col min="10" max="10" width="10.5703125" customWidth="1"/>
    <col min="13" max="13" width="2.85546875" customWidth="1"/>
    <col min="14" max="14" width="14.140625" customWidth="1"/>
    <col min="16" max="16" width="11.5703125" customWidth="1"/>
    <col min="20" max="20" width="12.7109375" customWidth="1"/>
    <col min="21" max="22" width="12" bestFit="1" customWidth="1"/>
    <col min="25" max="25" width="11.42578125" customWidth="1"/>
  </cols>
  <sheetData>
    <row r="1" spans="1:28" x14ac:dyDescent="0.25">
      <c r="A1" s="1" t="s">
        <v>18</v>
      </c>
      <c r="B1" s="1" t="s">
        <v>19</v>
      </c>
      <c r="C1" s="1" t="s">
        <v>20</v>
      </c>
      <c r="D1" s="1"/>
      <c r="E1" s="6" t="s">
        <v>25</v>
      </c>
      <c r="F1" s="7">
        <f>AVERAGE(C2:C31)</f>
        <v>6.6053333333333333</v>
      </c>
      <c r="H1" t="s">
        <v>32</v>
      </c>
      <c r="I1" s="10"/>
      <c r="J1" s="1" t="s">
        <v>18</v>
      </c>
      <c r="K1" s="1" t="s">
        <v>19</v>
      </c>
      <c r="L1" s="1" t="s">
        <v>20</v>
      </c>
      <c r="M1" s="1"/>
      <c r="N1" s="11" t="s">
        <v>25</v>
      </c>
      <c r="O1" s="12">
        <f>AVERAGE(L2:L30)</f>
        <v>6.3055172413793095</v>
      </c>
      <c r="P1" t="s">
        <v>32</v>
      </c>
      <c r="Q1" t="s">
        <v>19</v>
      </c>
      <c r="R1" t="s">
        <v>34</v>
      </c>
      <c r="T1" s="28" t="s">
        <v>35</v>
      </c>
      <c r="U1" s="29">
        <f>SQRT(5)*(O8-17.5)/O2</f>
        <v>-5.1417608383984383</v>
      </c>
      <c r="V1" s="29">
        <f>_xlfn.NORM.DIST(U1,0,1,TRUE)</f>
        <v>1.3608772364551343E-7</v>
      </c>
      <c r="W1" s="8">
        <f>O5/5.4</f>
        <v>2.4689129162370183</v>
      </c>
      <c r="X1" s="22" t="s">
        <v>35</v>
      </c>
      <c r="Y1" s="23">
        <f>SQRT(5)*(O8-O7)/3.61</f>
        <v>-2.2528125661423357</v>
      </c>
      <c r="Z1" s="23">
        <f>_xlfn.NORM.DIST(Y1,0,1,TRUE)</f>
        <v>1.2135484769260135E-2</v>
      </c>
    </row>
    <row r="2" spans="1:28" x14ac:dyDescent="0.25">
      <c r="A2" s="1">
        <v>1</v>
      </c>
      <c r="B2" s="2">
        <v>15</v>
      </c>
      <c r="C2" s="2">
        <v>6.18</v>
      </c>
      <c r="E2" s="6" t="s">
        <v>21</v>
      </c>
      <c r="F2" s="7">
        <f>F1/2.326</f>
        <v>2.8397821725422756</v>
      </c>
      <c r="H2" t="b">
        <f>C2 &gt; $F$5</f>
        <v>0</v>
      </c>
      <c r="I2" s="10"/>
      <c r="J2" s="1">
        <v>1</v>
      </c>
      <c r="K2" s="2">
        <v>15</v>
      </c>
      <c r="L2" s="2">
        <v>6.18</v>
      </c>
      <c r="N2" s="11" t="s">
        <v>21</v>
      </c>
      <c r="O2" s="12">
        <f>O1/2.326</f>
        <v>2.7108844545912767</v>
      </c>
      <c r="P2" t="b">
        <f>L2 &gt; $O$5</f>
        <v>0</v>
      </c>
      <c r="Q2" t="b">
        <f>K2 &lt; $O$8</f>
        <v>0</v>
      </c>
      <c r="R2" t="b">
        <f>K2 &gt; $O$10</f>
        <v>0</v>
      </c>
      <c r="T2" s="28" t="s">
        <v>36</v>
      </c>
      <c r="U2" s="29">
        <f>SQRT(5)*(O10-17.5)/O2</f>
        <v>0.85823916160156244</v>
      </c>
      <c r="V2" s="29">
        <f>1-_xlfn.NORM.DIST(U2,0,1,TRUE)</f>
        <v>0.19538020784371335</v>
      </c>
      <c r="X2" s="22" t="s">
        <v>36</v>
      </c>
      <c r="Y2" s="23">
        <f>SQRT(5)*(O10-O7)/3.61</f>
        <v>2.2528125661423357</v>
      </c>
      <c r="Z2" s="23">
        <f>1-_xlfn.NORM.DIST(Y2,0,1,TRUE)</f>
        <v>1.2135484769260185E-2</v>
      </c>
    </row>
    <row r="3" spans="1:28" x14ac:dyDescent="0.25">
      <c r="A3" s="1">
        <v>2</v>
      </c>
      <c r="B3" s="2">
        <v>17.05</v>
      </c>
      <c r="C3" s="2">
        <v>9.27</v>
      </c>
      <c r="E3" s="6" t="s">
        <v>22</v>
      </c>
      <c r="F3" s="7">
        <f>MAX((2.326-3*0.864)*F2,0)</f>
        <v>0</v>
      </c>
      <c r="H3" t="b">
        <f t="shared" ref="H3:H31" si="0">C3 &gt; $F$5</f>
        <v>0</v>
      </c>
      <c r="I3" s="10"/>
      <c r="J3" s="1">
        <v>2</v>
      </c>
      <c r="K3" s="2">
        <v>17.05</v>
      </c>
      <c r="L3" s="2">
        <v>9.27</v>
      </c>
      <c r="N3" s="11" t="s">
        <v>22</v>
      </c>
      <c r="O3" s="12">
        <f>MAX((2.326-3*0.864)*O2,0)</f>
        <v>0</v>
      </c>
      <c r="P3" t="b">
        <f t="shared" ref="P3:P30" si="1">L3 &gt; $O$5</f>
        <v>0</v>
      </c>
      <c r="Q3" t="b">
        <f t="shared" ref="Q3:Q30" si="2">K3 &lt; $O$8</f>
        <v>0</v>
      </c>
      <c r="R3" t="b">
        <f t="shared" ref="R3:R30" si="3">K3 &gt; $O$10</f>
        <v>0</v>
      </c>
      <c r="X3" s="24"/>
      <c r="Y3" s="24"/>
      <c r="Z3" s="24"/>
    </row>
    <row r="4" spans="1:28" x14ac:dyDescent="0.25">
      <c r="A4" s="1">
        <v>3</v>
      </c>
      <c r="B4" s="2">
        <v>13.1</v>
      </c>
      <c r="C4" s="2">
        <v>6</v>
      </c>
      <c r="E4" s="6" t="s">
        <v>24</v>
      </c>
      <c r="F4" s="7">
        <f>F1</f>
        <v>6.6053333333333333</v>
      </c>
      <c r="H4" t="b">
        <f t="shared" si="0"/>
        <v>0</v>
      </c>
      <c r="I4" s="10"/>
      <c r="J4" s="1">
        <v>3</v>
      </c>
      <c r="K4" s="2">
        <v>13.1</v>
      </c>
      <c r="L4" s="2">
        <v>6</v>
      </c>
      <c r="N4" s="11" t="s">
        <v>24</v>
      </c>
      <c r="O4" s="12">
        <f>O1</f>
        <v>6.3055172413793095</v>
      </c>
      <c r="P4" t="b">
        <f t="shared" si="1"/>
        <v>0</v>
      </c>
      <c r="Q4" t="b">
        <f t="shared" si="2"/>
        <v>0</v>
      </c>
      <c r="R4" t="b">
        <f t="shared" si="3"/>
        <v>0</v>
      </c>
      <c r="T4" s="5" t="s">
        <v>37</v>
      </c>
      <c r="U4" s="27">
        <f>V1+V2</f>
        <v>0.19538034393143699</v>
      </c>
      <c r="X4" s="25" t="s">
        <v>35</v>
      </c>
      <c r="Y4" s="26">
        <f>SQRT(5)*(O8-6)/3.61</f>
        <v>3.2620670956252207</v>
      </c>
      <c r="Z4" s="26">
        <f>_xlfn.NORM.DIST(Y4,0,1,TRUE)</f>
        <v>0.99944698519140351</v>
      </c>
    </row>
    <row r="5" spans="1:28" x14ac:dyDescent="0.25">
      <c r="A5" s="1">
        <v>4</v>
      </c>
      <c r="B5" s="2">
        <v>16.149999999999999</v>
      </c>
      <c r="C5" s="2">
        <v>10.56</v>
      </c>
      <c r="E5" s="6" t="s">
        <v>23</v>
      </c>
      <c r="F5" s="7">
        <f>(2.326+3*0.864)*F2</f>
        <v>13.966048724562912</v>
      </c>
      <c r="H5" t="b">
        <f t="shared" si="0"/>
        <v>0</v>
      </c>
      <c r="I5" s="10"/>
      <c r="J5" s="1">
        <v>4</v>
      </c>
      <c r="K5" s="2">
        <v>16.149999999999999</v>
      </c>
      <c r="L5" s="2">
        <v>10.56</v>
      </c>
      <c r="N5" s="11" t="s">
        <v>23</v>
      </c>
      <c r="O5" s="12">
        <f>(2.326+3*0.864)*O2</f>
        <v>13.332129747679899</v>
      </c>
      <c r="P5" t="b">
        <f t="shared" si="1"/>
        <v>0</v>
      </c>
      <c r="Q5" t="b">
        <f t="shared" si="2"/>
        <v>0</v>
      </c>
      <c r="R5" t="b">
        <f t="shared" si="3"/>
        <v>0</v>
      </c>
      <c r="T5" s="5" t="s">
        <v>38</v>
      </c>
      <c r="U5" s="19">
        <f>U4+U4*((1-U4))+U4*((1-U4)^2)</f>
        <v>0.47907894282599206</v>
      </c>
      <c r="X5" s="25" t="s">
        <v>36</v>
      </c>
      <c r="Y5" s="26">
        <f>SQRT(5)*(O10-6)/3.61</f>
        <v>7.7676922279098921</v>
      </c>
      <c r="Z5" s="26">
        <f>1-_xlfn.NORM.DIST(Y5,0,1,TRUE)</f>
        <v>3.9968028886505635E-15</v>
      </c>
    </row>
    <row r="6" spans="1:28" x14ac:dyDescent="0.25">
      <c r="A6" s="1">
        <v>5</v>
      </c>
      <c r="B6" s="2">
        <v>12.9</v>
      </c>
      <c r="C6" s="2">
        <v>6.18</v>
      </c>
      <c r="H6" t="b">
        <f t="shared" si="0"/>
        <v>0</v>
      </c>
      <c r="I6" s="10"/>
      <c r="J6" s="1">
        <v>5</v>
      </c>
      <c r="K6" s="2">
        <v>12.9</v>
      </c>
      <c r="L6" s="2">
        <v>6.18</v>
      </c>
      <c r="N6" s="13"/>
      <c r="O6" s="13"/>
      <c r="P6" t="b">
        <f t="shared" si="1"/>
        <v>0</v>
      </c>
      <c r="Q6" t="b">
        <f t="shared" si="2"/>
        <v>0</v>
      </c>
      <c r="R6" t="b">
        <f t="shared" si="3"/>
        <v>0</v>
      </c>
      <c r="T6" s="5" t="s">
        <v>39</v>
      </c>
      <c r="U6" s="7">
        <f>1-0.6</f>
        <v>0.4</v>
      </c>
    </row>
    <row r="7" spans="1:28" x14ac:dyDescent="0.25">
      <c r="A7" s="1">
        <v>6</v>
      </c>
      <c r="B7" s="2">
        <v>15.05</v>
      </c>
      <c r="C7" s="2">
        <v>0.12</v>
      </c>
      <c r="E7" s="6"/>
      <c r="F7" s="7"/>
      <c r="H7" t="b">
        <f t="shared" si="0"/>
        <v>0</v>
      </c>
      <c r="I7" s="10"/>
      <c r="J7" s="1">
        <v>6</v>
      </c>
      <c r="K7" s="2">
        <v>15.05</v>
      </c>
      <c r="L7" s="2">
        <v>0.12</v>
      </c>
      <c r="N7" s="11" t="s">
        <v>29</v>
      </c>
      <c r="O7" s="12">
        <f>AVERAGE(K2:K30)</f>
        <v>14.903448275862065</v>
      </c>
      <c r="P7" t="b">
        <f t="shared" si="1"/>
        <v>0</v>
      </c>
      <c r="Q7" t="b">
        <f t="shared" si="2"/>
        <v>0</v>
      </c>
      <c r="R7" t="b">
        <f t="shared" si="3"/>
        <v>0</v>
      </c>
      <c r="T7" s="5" t="s">
        <v>40</v>
      </c>
      <c r="U7" s="20">
        <f>Z1+Z2</f>
        <v>2.4270969538520322E-2</v>
      </c>
    </row>
    <row r="8" spans="1:28" x14ac:dyDescent="0.25">
      <c r="A8" s="1">
        <v>7</v>
      </c>
      <c r="B8" s="2">
        <v>16</v>
      </c>
      <c r="C8" s="2">
        <v>6.18</v>
      </c>
      <c r="E8" s="6" t="s">
        <v>29</v>
      </c>
      <c r="F8" s="7">
        <f>AVERAGE(B2:B31)</f>
        <v>14.903333333333331</v>
      </c>
      <c r="H8" t="b">
        <f t="shared" si="0"/>
        <v>0</v>
      </c>
      <c r="I8" s="10"/>
      <c r="J8" s="1">
        <v>7</v>
      </c>
      <c r="K8" s="2">
        <v>16</v>
      </c>
      <c r="L8" s="2">
        <v>6.18</v>
      </c>
      <c r="N8" s="11" t="s">
        <v>28</v>
      </c>
      <c r="O8" s="12">
        <f>O7-3*O2/SQRT(5)</f>
        <v>11.266415124093943</v>
      </c>
      <c r="P8" t="b">
        <f t="shared" si="1"/>
        <v>0</v>
      </c>
      <c r="Q8" t="b">
        <f t="shared" si="2"/>
        <v>0</v>
      </c>
      <c r="R8" t="b">
        <f t="shared" si="3"/>
        <v>0</v>
      </c>
      <c r="T8" s="5" t="s">
        <v>41</v>
      </c>
      <c r="U8" s="21">
        <f>Z4+Z5</f>
        <v>0.99944698519140751</v>
      </c>
      <c r="W8">
        <f>1/U4</f>
        <v>5.1182221296064494</v>
      </c>
    </row>
    <row r="9" spans="1:28" x14ac:dyDescent="0.25">
      <c r="A9" s="1">
        <v>8</v>
      </c>
      <c r="B9" s="2">
        <v>13.25</v>
      </c>
      <c r="C9" s="2">
        <v>9.18</v>
      </c>
      <c r="E9" s="6"/>
      <c r="F9" s="7"/>
      <c r="H9" t="b">
        <f t="shared" si="0"/>
        <v>0</v>
      </c>
      <c r="I9" s="10"/>
      <c r="J9" s="1">
        <v>8</v>
      </c>
      <c r="K9" s="2">
        <v>13.25</v>
      </c>
      <c r="L9" s="2">
        <v>9.18</v>
      </c>
      <c r="N9" s="11" t="s">
        <v>27</v>
      </c>
      <c r="O9" s="12">
        <f>O7</f>
        <v>14.903448275862065</v>
      </c>
      <c r="P9" t="b">
        <f t="shared" si="1"/>
        <v>0</v>
      </c>
      <c r="Q9" t="b">
        <f t="shared" si="2"/>
        <v>0</v>
      </c>
      <c r="R9" t="b">
        <f t="shared" si="3"/>
        <v>0</v>
      </c>
    </row>
    <row r="10" spans="1:28" x14ac:dyDescent="0.25">
      <c r="A10" s="30">
        <v>9</v>
      </c>
      <c r="B10" s="2">
        <v>14.9</v>
      </c>
      <c r="C10" s="7">
        <v>15.299999999999999</v>
      </c>
      <c r="E10" s="6"/>
      <c r="F10" s="7"/>
      <c r="H10" s="8" t="b">
        <f t="shared" si="0"/>
        <v>1</v>
      </c>
      <c r="I10" s="10"/>
      <c r="J10" s="1">
        <v>10</v>
      </c>
      <c r="K10" s="2">
        <v>15</v>
      </c>
      <c r="L10" s="2">
        <v>3.09</v>
      </c>
      <c r="N10" s="11" t="s">
        <v>26</v>
      </c>
      <c r="O10" s="12">
        <f>O7+3*O2/SQRT(5)</f>
        <v>18.540481427630187</v>
      </c>
      <c r="P10" t="b">
        <f t="shared" si="1"/>
        <v>0</v>
      </c>
      <c r="Q10" t="b">
        <f t="shared" si="2"/>
        <v>0</v>
      </c>
      <c r="R10" t="b">
        <f t="shared" si="3"/>
        <v>0</v>
      </c>
      <c r="S10" s="47"/>
      <c r="T10" s="47"/>
      <c r="U10" s="47"/>
      <c r="V10" s="47"/>
      <c r="W10" s="47"/>
      <c r="X10" s="47"/>
      <c r="Y10" s="47"/>
      <c r="Z10" s="47"/>
      <c r="AA10" s="47"/>
    </row>
    <row r="11" spans="1:28" ht="15.75" x14ac:dyDescent="0.25">
      <c r="A11" s="1">
        <v>10</v>
      </c>
      <c r="B11" s="2">
        <v>15</v>
      </c>
      <c r="C11" s="2">
        <v>3.09</v>
      </c>
      <c r="H11" t="b">
        <f t="shared" si="0"/>
        <v>0</v>
      </c>
      <c r="I11" s="10"/>
      <c r="J11" s="1">
        <v>11</v>
      </c>
      <c r="K11" s="2">
        <v>16.100000000000001</v>
      </c>
      <c r="L11" s="2">
        <v>12.24</v>
      </c>
      <c r="P11" t="b">
        <f t="shared" si="1"/>
        <v>0</v>
      </c>
      <c r="Q11" t="b">
        <f t="shared" si="2"/>
        <v>0</v>
      </c>
      <c r="R11" t="b">
        <f t="shared" si="3"/>
        <v>0</v>
      </c>
      <c r="S11" s="47"/>
      <c r="T11" s="48" t="s">
        <v>59</v>
      </c>
      <c r="AA11" s="47"/>
    </row>
    <row r="12" spans="1:28" x14ac:dyDescent="0.25">
      <c r="A12" s="1">
        <v>11</v>
      </c>
      <c r="B12" s="2">
        <v>16.100000000000001</v>
      </c>
      <c r="C12" s="2">
        <v>12.24</v>
      </c>
      <c r="H12" t="b">
        <f t="shared" si="0"/>
        <v>0</v>
      </c>
      <c r="I12" s="10"/>
      <c r="J12" s="1">
        <v>12</v>
      </c>
      <c r="K12" s="2">
        <v>13.75</v>
      </c>
      <c r="L12" s="2">
        <v>6.18</v>
      </c>
      <c r="N12" s="6"/>
      <c r="O12" s="7"/>
      <c r="P12" t="b">
        <f t="shared" si="1"/>
        <v>0</v>
      </c>
      <c r="Q12" t="b">
        <f t="shared" si="2"/>
        <v>0</v>
      </c>
      <c r="R12" t="b">
        <f t="shared" si="3"/>
        <v>0</v>
      </c>
      <c r="S12" s="47"/>
      <c r="T12" s="37" t="s">
        <v>25</v>
      </c>
      <c r="U12" s="41">
        <v>4.2</v>
      </c>
      <c r="W12" s="28" t="s">
        <v>35</v>
      </c>
      <c r="X12" s="33">
        <f>(2.9-U18)/U13</f>
        <v>-1.104972375690608</v>
      </c>
      <c r="Y12" s="46">
        <f>_xlfn.NORM.DIST(X12,0,1,TRUE)</f>
        <v>0.13458577958863702</v>
      </c>
      <c r="AA12" s="47"/>
    </row>
    <row r="13" spans="1:28" x14ac:dyDescent="0.25">
      <c r="A13" s="1">
        <v>12</v>
      </c>
      <c r="B13" s="2">
        <v>13.75</v>
      </c>
      <c r="C13" s="2">
        <v>6.18</v>
      </c>
      <c r="H13" t="b">
        <f t="shared" si="0"/>
        <v>0</v>
      </c>
      <c r="I13" s="10"/>
      <c r="J13" s="1">
        <v>13</v>
      </c>
      <c r="K13" s="2">
        <v>15</v>
      </c>
      <c r="L13" s="2">
        <v>11.87</v>
      </c>
      <c r="N13" s="6"/>
      <c r="O13" s="7"/>
      <c r="P13" t="b">
        <f t="shared" si="1"/>
        <v>0</v>
      </c>
      <c r="Q13" t="b">
        <f t="shared" si="2"/>
        <v>0</v>
      </c>
      <c r="R13" t="b">
        <f t="shared" si="3"/>
        <v>0</v>
      </c>
      <c r="S13" s="47"/>
      <c r="T13" s="37" t="s">
        <v>21</v>
      </c>
      <c r="U13" s="41">
        <v>1.81</v>
      </c>
      <c r="W13" s="28" t="s">
        <v>36</v>
      </c>
      <c r="X13" s="33">
        <f>(7.1-U18)/U13</f>
        <v>1.2154696132596681</v>
      </c>
      <c r="Y13" s="46">
        <f>1-_xlfn.NORM.DIST(X13,0,1,TRUE)</f>
        <v>0.11209351574526871</v>
      </c>
      <c r="AA13" s="47"/>
    </row>
    <row r="14" spans="1:28" x14ac:dyDescent="0.25">
      <c r="A14" s="1">
        <v>13</v>
      </c>
      <c r="B14" s="2">
        <v>15</v>
      </c>
      <c r="C14" s="2">
        <v>11.87</v>
      </c>
      <c r="H14" t="b">
        <f t="shared" si="0"/>
        <v>0</v>
      </c>
      <c r="I14" s="10"/>
      <c r="J14" s="1">
        <v>14</v>
      </c>
      <c r="K14" s="2">
        <v>12.95</v>
      </c>
      <c r="L14" s="2">
        <v>4.5</v>
      </c>
      <c r="N14" s="6"/>
      <c r="O14" s="7"/>
      <c r="P14" t="b">
        <f t="shared" si="1"/>
        <v>0</v>
      </c>
      <c r="Q14" t="b">
        <f t="shared" si="2"/>
        <v>0</v>
      </c>
      <c r="R14" t="b">
        <f t="shared" si="3"/>
        <v>0</v>
      </c>
      <c r="S14" s="47"/>
      <c r="T14" s="37" t="s">
        <v>22</v>
      </c>
      <c r="U14" s="41">
        <v>0</v>
      </c>
      <c r="AA14" s="47"/>
    </row>
    <row r="15" spans="1:28" x14ac:dyDescent="0.25">
      <c r="A15" s="1">
        <v>14</v>
      </c>
      <c r="B15" s="2">
        <v>12.95</v>
      </c>
      <c r="C15" s="2">
        <v>4.5</v>
      </c>
      <c r="H15" t="b">
        <f t="shared" si="0"/>
        <v>0</v>
      </c>
      <c r="I15" s="10"/>
      <c r="J15" s="1">
        <v>15</v>
      </c>
      <c r="K15" s="2">
        <v>15</v>
      </c>
      <c r="L15" s="2">
        <v>6.36</v>
      </c>
      <c r="N15" s="6"/>
      <c r="O15" s="7"/>
      <c r="P15" t="b">
        <f t="shared" si="1"/>
        <v>0</v>
      </c>
      <c r="Q15" t="b">
        <f t="shared" si="2"/>
        <v>0</v>
      </c>
      <c r="R15" t="b">
        <f t="shared" si="3"/>
        <v>0</v>
      </c>
      <c r="S15" s="47"/>
      <c r="T15" s="37" t="s">
        <v>24</v>
      </c>
      <c r="U15" s="41">
        <v>4.2</v>
      </c>
      <c r="W15" s="27" t="s">
        <v>60</v>
      </c>
      <c r="X15" s="34">
        <f>Y12+Y13</f>
        <v>0.24667929533390573</v>
      </c>
      <c r="Y15" s="27"/>
      <c r="AA15" s="47"/>
      <c r="AB15">
        <f>3*3.0363/SQRT(5)</f>
        <v>4.0736239200495667</v>
      </c>
    </row>
    <row r="16" spans="1:28" x14ac:dyDescent="0.25">
      <c r="A16" s="1">
        <v>15</v>
      </c>
      <c r="B16" s="2">
        <v>15</v>
      </c>
      <c r="C16" s="2">
        <v>6.36</v>
      </c>
      <c r="H16" t="b">
        <f t="shared" si="0"/>
        <v>0</v>
      </c>
      <c r="I16" s="10"/>
      <c r="J16" s="1">
        <v>16</v>
      </c>
      <c r="K16" s="2">
        <v>17.100000000000001</v>
      </c>
      <c r="L16" s="2">
        <v>3</v>
      </c>
      <c r="P16" t="b">
        <f t="shared" si="1"/>
        <v>0</v>
      </c>
      <c r="Q16" t="b">
        <f t="shared" si="2"/>
        <v>0</v>
      </c>
      <c r="R16" t="b">
        <f t="shared" si="3"/>
        <v>0</v>
      </c>
      <c r="S16" s="47"/>
      <c r="T16" s="37" t="s">
        <v>23</v>
      </c>
      <c r="U16" s="41">
        <v>8.89</v>
      </c>
      <c r="AA16" s="47"/>
      <c r="AB16">
        <f>101.025-AB15</f>
        <v>96.951376079950435</v>
      </c>
    </row>
    <row r="17" spans="1:28" x14ac:dyDescent="0.25">
      <c r="A17" s="1">
        <v>16</v>
      </c>
      <c r="B17" s="2">
        <v>17.100000000000001</v>
      </c>
      <c r="C17" s="2">
        <v>3</v>
      </c>
      <c r="H17" t="b">
        <f t="shared" si="0"/>
        <v>0</v>
      </c>
      <c r="I17" s="10"/>
      <c r="J17" s="1">
        <v>17</v>
      </c>
      <c r="K17" s="2">
        <v>14.9</v>
      </c>
      <c r="L17" s="2">
        <v>6.18</v>
      </c>
      <c r="P17" t="b">
        <f t="shared" si="1"/>
        <v>0</v>
      </c>
      <c r="Q17" t="b">
        <f t="shared" si="2"/>
        <v>0</v>
      </c>
      <c r="R17" t="b">
        <f t="shared" si="3"/>
        <v>0</v>
      </c>
      <c r="S17" s="47"/>
      <c r="T17" s="37"/>
      <c r="U17" s="41"/>
      <c r="AA17" s="47"/>
      <c r="AB17">
        <f>101.025+AB15</f>
        <v>105.09862392004958</v>
      </c>
    </row>
    <row r="18" spans="1:28" x14ac:dyDescent="0.25">
      <c r="A18" s="1">
        <v>17</v>
      </c>
      <c r="B18" s="2">
        <v>14.9</v>
      </c>
      <c r="C18" s="2">
        <v>6.18</v>
      </c>
      <c r="H18" t="b">
        <f t="shared" si="0"/>
        <v>0</v>
      </c>
      <c r="I18" s="10"/>
      <c r="J18" s="1">
        <v>18</v>
      </c>
      <c r="K18" s="2">
        <v>15</v>
      </c>
      <c r="L18" s="2">
        <v>3.3600000000000003</v>
      </c>
      <c r="P18" t="b">
        <f t="shared" si="1"/>
        <v>0</v>
      </c>
      <c r="Q18" t="b">
        <f t="shared" si="2"/>
        <v>0</v>
      </c>
      <c r="R18" t="b">
        <f t="shared" si="3"/>
        <v>0</v>
      </c>
      <c r="S18" s="47"/>
      <c r="T18" s="37" t="s">
        <v>29</v>
      </c>
      <c r="U18" s="41">
        <v>4.9000000000000004</v>
      </c>
      <c r="AA18" s="47"/>
    </row>
    <row r="19" spans="1:28" x14ac:dyDescent="0.25">
      <c r="A19" s="1">
        <v>18</v>
      </c>
      <c r="B19" s="2">
        <v>15</v>
      </c>
      <c r="C19" s="2">
        <v>3.3600000000000003</v>
      </c>
      <c r="H19" t="b">
        <f t="shared" si="0"/>
        <v>0</v>
      </c>
      <c r="I19" s="10"/>
      <c r="J19" s="1">
        <v>19</v>
      </c>
      <c r="K19" s="2">
        <v>14</v>
      </c>
      <c r="L19" s="2">
        <v>6.18</v>
      </c>
      <c r="P19" t="b">
        <f t="shared" si="1"/>
        <v>0</v>
      </c>
      <c r="Q19" t="b">
        <f t="shared" si="2"/>
        <v>0</v>
      </c>
      <c r="R19" t="b">
        <f t="shared" si="3"/>
        <v>0</v>
      </c>
      <c r="S19" s="47"/>
      <c r="T19" s="37" t="s">
        <v>28</v>
      </c>
      <c r="U19" s="41">
        <v>2.48</v>
      </c>
      <c r="AA19" s="47"/>
    </row>
    <row r="20" spans="1:28" x14ac:dyDescent="0.25">
      <c r="A20" s="1">
        <v>19</v>
      </c>
      <c r="B20" s="2">
        <v>14</v>
      </c>
      <c r="C20" s="2">
        <v>6.18</v>
      </c>
      <c r="H20" t="b">
        <f t="shared" si="0"/>
        <v>0</v>
      </c>
      <c r="I20" s="10"/>
      <c r="J20" s="1">
        <v>20</v>
      </c>
      <c r="K20" s="2">
        <v>15.2</v>
      </c>
      <c r="L20" s="2">
        <v>9</v>
      </c>
      <c r="P20" t="b">
        <f t="shared" si="1"/>
        <v>0</v>
      </c>
      <c r="Q20" t="b">
        <f t="shared" si="2"/>
        <v>0</v>
      </c>
      <c r="R20" t="b">
        <f t="shared" si="3"/>
        <v>0</v>
      </c>
      <c r="S20" s="47"/>
      <c r="T20" s="37" t="s">
        <v>27</v>
      </c>
      <c r="U20" s="41">
        <v>4.9000000000000004</v>
      </c>
      <c r="AA20" s="47"/>
    </row>
    <row r="21" spans="1:28" x14ac:dyDescent="0.25">
      <c r="A21" s="1">
        <v>20</v>
      </c>
      <c r="B21" s="2">
        <v>15.2</v>
      </c>
      <c r="C21" s="2">
        <v>9</v>
      </c>
      <c r="H21" t="b">
        <f t="shared" si="0"/>
        <v>0</v>
      </c>
      <c r="I21" s="10"/>
      <c r="J21" s="1">
        <v>21</v>
      </c>
      <c r="K21" s="2">
        <v>13.85</v>
      </c>
      <c r="L21" s="2">
        <v>3.18</v>
      </c>
      <c r="P21" t="b">
        <f t="shared" si="1"/>
        <v>0</v>
      </c>
      <c r="Q21" t="b">
        <f t="shared" si="2"/>
        <v>0</v>
      </c>
      <c r="R21" t="b">
        <f t="shared" si="3"/>
        <v>0</v>
      </c>
      <c r="S21" s="47"/>
      <c r="T21" s="37" t="s">
        <v>26</v>
      </c>
      <c r="U21" s="41">
        <v>7.33</v>
      </c>
      <c r="AA21" s="47"/>
    </row>
    <row r="22" spans="1:28" x14ac:dyDescent="0.25">
      <c r="A22" s="1">
        <v>21</v>
      </c>
      <c r="B22" s="2">
        <v>13.85</v>
      </c>
      <c r="C22" s="2">
        <v>3.18</v>
      </c>
      <c r="H22" t="b">
        <f t="shared" si="0"/>
        <v>0</v>
      </c>
      <c r="I22" s="10"/>
      <c r="J22" s="1">
        <v>22</v>
      </c>
      <c r="K22" s="2">
        <v>13.9</v>
      </c>
      <c r="L22" s="2">
        <v>6.18</v>
      </c>
      <c r="P22" t="b">
        <f t="shared" si="1"/>
        <v>0</v>
      </c>
      <c r="Q22" t="b">
        <f t="shared" si="2"/>
        <v>0</v>
      </c>
      <c r="R22" t="b">
        <f t="shared" si="3"/>
        <v>0</v>
      </c>
      <c r="S22" s="47"/>
      <c r="T22" s="47"/>
      <c r="U22" s="47"/>
      <c r="V22" s="47"/>
      <c r="W22" s="47"/>
      <c r="X22" s="47"/>
      <c r="Y22" s="47"/>
      <c r="Z22" s="47"/>
      <c r="AA22" s="47"/>
    </row>
    <row r="23" spans="1:28" x14ac:dyDescent="0.25">
      <c r="A23" s="1">
        <v>22</v>
      </c>
      <c r="B23" s="2">
        <v>13.9</v>
      </c>
      <c r="C23" s="2">
        <v>6.18</v>
      </c>
      <c r="H23" t="b">
        <f t="shared" si="0"/>
        <v>0</v>
      </c>
      <c r="I23" s="10"/>
      <c r="J23" s="1">
        <v>23</v>
      </c>
      <c r="K23" s="2">
        <v>16</v>
      </c>
      <c r="L23" s="2">
        <v>1.79</v>
      </c>
      <c r="P23" t="b">
        <f t="shared" si="1"/>
        <v>0</v>
      </c>
      <c r="Q23" t="b">
        <f t="shared" si="2"/>
        <v>0</v>
      </c>
      <c r="R23" t="b">
        <f t="shared" si="3"/>
        <v>0</v>
      </c>
    </row>
    <row r="24" spans="1:28" x14ac:dyDescent="0.25">
      <c r="A24" s="1">
        <v>23</v>
      </c>
      <c r="B24" s="2">
        <v>16</v>
      </c>
      <c r="C24" s="2">
        <v>1.79</v>
      </c>
      <c r="H24" t="b">
        <f t="shared" si="0"/>
        <v>0</v>
      </c>
      <c r="I24" s="10"/>
      <c r="J24" s="1">
        <v>24</v>
      </c>
      <c r="K24" s="2">
        <v>16.149999999999999</v>
      </c>
      <c r="L24" s="2">
        <v>1.7999999999999998</v>
      </c>
      <c r="P24" t="b">
        <f t="shared" si="1"/>
        <v>0</v>
      </c>
      <c r="Q24" t="b">
        <f t="shared" si="2"/>
        <v>0</v>
      </c>
      <c r="R24" t="b">
        <f t="shared" si="3"/>
        <v>0</v>
      </c>
    </row>
    <row r="25" spans="1:28" x14ac:dyDescent="0.25">
      <c r="A25" s="1">
        <v>24</v>
      </c>
      <c r="B25" s="2">
        <v>16.149999999999999</v>
      </c>
      <c r="C25" s="2">
        <v>1.7999999999999998</v>
      </c>
      <c r="H25" t="b">
        <f t="shared" si="0"/>
        <v>0</v>
      </c>
      <c r="I25" s="10"/>
      <c r="J25" s="1">
        <v>25</v>
      </c>
      <c r="K25" s="2">
        <v>14.9</v>
      </c>
      <c r="L25" s="2">
        <v>7.86</v>
      </c>
      <c r="P25" t="b">
        <f t="shared" si="1"/>
        <v>0</v>
      </c>
      <c r="Q25" t="b">
        <f t="shared" si="2"/>
        <v>0</v>
      </c>
      <c r="R25" t="b">
        <f t="shared" si="3"/>
        <v>0</v>
      </c>
    </row>
    <row r="26" spans="1:28" x14ac:dyDescent="0.25">
      <c r="A26" s="1">
        <v>25</v>
      </c>
      <c r="B26" s="2">
        <v>14.9</v>
      </c>
      <c r="C26" s="2">
        <v>7.86</v>
      </c>
      <c r="H26" t="b">
        <f t="shared" si="0"/>
        <v>0</v>
      </c>
      <c r="I26" s="10"/>
      <c r="J26" s="1">
        <v>26</v>
      </c>
      <c r="K26" s="2">
        <v>15</v>
      </c>
      <c r="L26" s="2">
        <v>6.14</v>
      </c>
      <c r="P26" t="b">
        <f t="shared" si="1"/>
        <v>0</v>
      </c>
      <c r="Q26" t="b">
        <f t="shared" si="2"/>
        <v>0</v>
      </c>
      <c r="R26" t="b">
        <f t="shared" si="3"/>
        <v>0</v>
      </c>
    </row>
    <row r="27" spans="1:28" x14ac:dyDescent="0.25">
      <c r="A27" s="1">
        <v>26</v>
      </c>
      <c r="B27" s="2">
        <v>15</v>
      </c>
      <c r="C27" s="2">
        <v>6.14</v>
      </c>
      <c r="H27" t="b">
        <f t="shared" si="0"/>
        <v>0</v>
      </c>
      <c r="I27" s="10"/>
      <c r="J27" s="1">
        <v>27</v>
      </c>
      <c r="K27" s="2">
        <v>14.9</v>
      </c>
      <c r="L27" s="2">
        <v>6.36</v>
      </c>
      <c r="P27" t="b">
        <f t="shared" si="1"/>
        <v>0</v>
      </c>
      <c r="Q27" t="b">
        <f t="shared" si="2"/>
        <v>0</v>
      </c>
      <c r="R27" t="b">
        <f t="shared" si="3"/>
        <v>0</v>
      </c>
    </row>
    <row r="28" spans="1:28" x14ac:dyDescent="0.25">
      <c r="A28" s="1">
        <v>27</v>
      </c>
      <c r="B28" s="2">
        <v>14.9</v>
      </c>
      <c r="C28" s="2">
        <v>6.36</v>
      </c>
      <c r="H28" t="b">
        <f t="shared" si="0"/>
        <v>0</v>
      </c>
      <c r="I28" s="10"/>
      <c r="J28" s="1">
        <v>28</v>
      </c>
      <c r="K28" s="2">
        <v>16.55</v>
      </c>
      <c r="L28" s="2">
        <v>6.23</v>
      </c>
      <c r="P28" t="b">
        <f t="shared" si="1"/>
        <v>0</v>
      </c>
      <c r="Q28" t="b">
        <f t="shared" si="2"/>
        <v>0</v>
      </c>
      <c r="R28" t="b">
        <f t="shared" si="3"/>
        <v>0</v>
      </c>
    </row>
    <row r="29" spans="1:28" x14ac:dyDescent="0.25">
      <c r="A29" s="1">
        <v>28</v>
      </c>
      <c r="B29" s="2">
        <v>16.55</v>
      </c>
      <c r="C29" s="2">
        <v>6.23</v>
      </c>
      <c r="H29" t="b">
        <f t="shared" si="0"/>
        <v>0</v>
      </c>
      <c r="I29" s="10"/>
      <c r="J29" s="1">
        <v>29</v>
      </c>
      <c r="K29" s="2">
        <v>15</v>
      </c>
      <c r="L29" s="2">
        <v>6.18</v>
      </c>
      <c r="P29" t="b">
        <f t="shared" si="1"/>
        <v>0</v>
      </c>
      <c r="Q29" t="b">
        <f t="shared" si="2"/>
        <v>0</v>
      </c>
      <c r="R29" t="b">
        <f t="shared" si="3"/>
        <v>0</v>
      </c>
    </row>
    <row r="30" spans="1:28" x14ac:dyDescent="0.25">
      <c r="A30" s="1">
        <v>29</v>
      </c>
      <c r="B30" s="2">
        <v>15</v>
      </c>
      <c r="C30" s="2">
        <v>6.18</v>
      </c>
      <c r="H30" t="b">
        <f t="shared" si="0"/>
        <v>0</v>
      </c>
      <c r="I30" s="10"/>
      <c r="J30" s="1">
        <v>30</v>
      </c>
      <c r="K30" s="2">
        <v>13.45</v>
      </c>
      <c r="L30" s="2">
        <v>11.51</v>
      </c>
      <c r="P30" t="b">
        <f t="shared" si="1"/>
        <v>0</v>
      </c>
      <c r="Q30" t="b">
        <f t="shared" si="2"/>
        <v>0</v>
      </c>
      <c r="R30" t="b">
        <f t="shared" si="3"/>
        <v>0</v>
      </c>
    </row>
    <row r="31" spans="1:28" x14ac:dyDescent="0.25">
      <c r="A31" s="1">
        <v>30</v>
      </c>
      <c r="B31" s="2">
        <v>13.45</v>
      </c>
      <c r="C31" s="2">
        <v>11.51</v>
      </c>
      <c r="H31" t="b">
        <f t="shared" si="0"/>
        <v>0</v>
      </c>
      <c r="I31" s="10"/>
      <c r="K31" s="2"/>
    </row>
    <row r="32" spans="1:28" x14ac:dyDescent="0.25">
      <c r="A32" s="1" t="s">
        <v>58</v>
      </c>
      <c r="B32" s="2">
        <f>SUM(B2:B31)</f>
        <v>447.09999999999991</v>
      </c>
      <c r="C32" s="2">
        <f>SUM(C2:C31)</f>
        <v>198.16</v>
      </c>
    </row>
    <row r="40" spans="3:3" x14ac:dyDescent="0.25">
      <c r="C40" s="1">
        <f>3.61*1.5</f>
        <v>5.415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Exerc-2.2</vt:lpstr>
      <vt:lpstr>Exerc-3.1</vt:lpstr>
      <vt:lpstr>Exerc-3.2</vt:lpstr>
      <vt:lpstr>Exerc-3.3</vt:lpstr>
      <vt:lpstr>Exerc-3.4</vt:lpstr>
      <vt:lpstr>Exerc-3.5</vt:lpstr>
      <vt:lpstr>Exerc-4.1</vt:lpstr>
      <vt:lpstr>prova01_01</vt:lpstr>
      <vt:lpstr>prova01_02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RalphSilva</cp:lastModifiedBy>
  <dcterms:created xsi:type="dcterms:W3CDTF">2012-03-29T13:02:10Z</dcterms:created>
  <dcterms:modified xsi:type="dcterms:W3CDTF">2012-04-27T15:34:24Z</dcterms:modified>
</cp:coreProperties>
</file>